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omments3.xml" ContentType="application/vnd.openxmlformats-officedocument.spreadsheetml.comments+xml"/>
  <Override PartName="/xl/customProperty5.bin" ContentType="application/vnd.openxmlformats-officedocument.spreadsheetml.customProperty"/>
  <Override PartName="/xl/comments4.xml" ContentType="application/vnd.openxmlformats-officedocument.spreadsheetml.comments+xml"/>
  <Override PartName="/xl/customProperty6.bin" ContentType="application/vnd.openxmlformats-officedocument.spreadsheetml.customProperty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1.xml" ContentType="application/vnd.ms-excel.threadedcomments+xml"/>
  <Override PartName="/xl/comments10.xml" ContentType="application/vnd.openxmlformats-officedocument.spreadsheetml.comments+xml"/>
  <Override PartName="/xl/threadedComments/threadedComment2.xml" ContentType="application/vnd.ms-excel.threadedcomments+xml"/>
  <Override PartName="/xl/comments11.xml" ContentType="application/vnd.openxmlformats-officedocument.spreadsheetml.comments+xml"/>
  <Override PartName="/xl/threadedComments/threadedComment3.xml" ContentType="application/vnd.ms-excel.threadedcomments+xml"/>
  <Override PartName="/xl/comments12.xml" ContentType="application/vnd.openxmlformats-officedocument.spreadsheetml.comments+xml"/>
  <Override PartName="/xl/threadedComments/threadedComment4.xml" ContentType="application/vnd.ms-excel.threadedcomments+xml"/>
  <Override PartName="/xl/comments13.xml" ContentType="application/vnd.openxmlformats-officedocument.spreadsheetml.comments+xml"/>
  <Override PartName="/xl/threadedComments/threadedComment5.xml" ContentType="application/vnd.ms-excel.threadedcomments+xml"/>
  <Override PartName="/xl/comments14.xml" ContentType="application/vnd.openxmlformats-officedocument.spreadsheetml.comments+xml"/>
  <Override PartName="/xl/threadedComments/threadedComment6.xml" ContentType="application/vnd.ms-excel.threadedcomments+xml"/>
  <Override PartName="/xl/comments15.xml" ContentType="application/vnd.openxmlformats-officedocument.spreadsheetml.comments+xml"/>
  <Override PartName="/xl/threadedComments/threadedComment7.xml" ContentType="application/vnd.ms-excel.threadedcomments+xml"/>
  <Override PartName="/xl/drawings/drawing1.xml" ContentType="application/vnd.openxmlformats-officedocument.drawing+xml"/>
  <Override PartName="/xl/comments1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rebrantJ\Downloads\"/>
    </mc:Choice>
  </mc:AlternateContent>
  <xr:revisionPtr revIDLastSave="0" documentId="13_ncr:1_{C2A41F74-3C47-472E-AE69-A421390BEBD4}" xr6:coauthVersionLast="47" xr6:coauthVersionMax="47" xr10:uidLastSave="{00000000-0000-0000-0000-000000000000}"/>
  <bookViews>
    <workbookView xWindow="-110" yWindow="-110" windowWidth="19420" windowHeight="11500" firstSheet="15" activeTab="16" xr2:uid="{00000000-000D-0000-FFFF-FFFF00000000}"/>
  </bookViews>
  <sheets>
    <sheet name="2017 (2)" sheetId="10" r:id="rId1"/>
    <sheet name="2011" sheetId="1" r:id="rId2"/>
    <sheet name="2012" sheetId="2" r:id="rId3"/>
    <sheet name="2013" sheetId="4" r:id="rId4"/>
    <sheet name="2014" sheetId="5" r:id="rId5"/>
    <sheet name="2015" sheetId="6" r:id="rId6"/>
    <sheet name="2016" sheetId="7" r:id="rId7"/>
    <sheet name="2017" sheetId="9" r:id="rId8"/>
    <sheet name="2018" sheetId="11" r:id="rId9"/>
    <sheet name="2019" sheetId="12" r:id="rId10"/>
    <sheet name="2020" sheetId="13" r:id="rId11"/>
    <sheet name="2021" sheetId="14" r:id="rId12"/>
    <sheet name="2022" sheetId="15" r:id="rId13"/>
    <sheet name="2023" sheetId="17" r:id="rId14"/>
    <sheet name="2024" sheetId="16" r:id="rId15"/>
    <sheet name="2025" sheetId="18" r:id="rId16"/>
    <sheet name="2026" sheetId="19" r:id="rId17"/>
    <sheet name="till årsmötet" sheetId="8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19" l="1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8" i="19"/>
  <c r="E43" i="19"/>
  <c r="E59" i="19" s="1"/>
  <c r="E48" i="19"/>
  <c r="E56" i="19"/>
  <c r="E91" i="19"/>
  <c r="E129" i="19"/>
  <c r="D139" i="19"/>
  <c r="F139" i="19" s="1"/>
  <c r="D120" i="19"/>
  <c r="D129" i="19" s="1"/>
  <c r="D91" i="19"/>
  <c r="D43" i="19"/>
  <c r="D59" i="19" s="1"/>
  <c r="A146" i="19"/>
  <c r="A142" i="19"/>
  <c r="S139" i="19"/>
  <c r="R139" i="19"/>
  <c r="Q139" i="19"/>
  <c r="P139" i="19"/>
  <c r="O139" i="19"/>
  <c r="N139" i="19"/>
  <c r="M139" i="19"/>
  <c r="K139" i="19"/>
  <c r="I139" i="19"/>
  <c r="C139" i="19"/>
  <c r="A139" i="19"/>
  <c r="B138" i="19"/>
  <c r="A138" i="19"/>
  <c r="F137" i="19"/>
  <c r="F136" i="19"/>
  <c r="B136" i="19"/>
  <c r="A136" i="19"/>
  <c r="F134" i="19"/>
  <c r="A132" i="19"/>
  <c r="S129" i="19"/>
  <c r="R129" i="19"/>
  <c r="Q129" i="19"/>
  <c r="P129" i="19"/>
  <c r="O129" i="19"/>
  <c r="N129" i="19"/>
  <c r="M129" i="19"/>
  <c r="K129" i="19"/>
  <c r="I129" i="19"/>
  <c r="C129" i="19"/>
  <c r="A129" i="19"/>
  <c r="F127" i="19"/>
  <c r="B127" i="19"/>
  <c r="A127" i="19"/>
  <c r="F126" i="19"/>
  <c r="B126" i="19"/>
  <c r="A126" i="19"/>
  <c r="F125" i="19"/>
  <c r="B125" i="19"/>
  <c r="A125" i="19"/>
  <c r="F124" i="19"/>
  <c r="F123" i="19"/>
  <c r="F121" i="19"/>
  <c r="B121" i="19"/>
  <c r="A121" i="19"/>
  <c r="C120" i="19"/>
  <c r="B120" i="19"/>
  <c r="A120" i="19"/>
  <c r="F119" i="19"/>
  <c r="B119" i="19"/>
  <c r="A119" i="19"/>
  <c r="F118" i="19"/>
  <c r="F117" i="19"/>
  <c r="A117" i="19"/>
  <c r="F116" i="19"/>
  <c r="F115" i="19"/>
  <c r="F114" i="19"/>
  <c r="B114" i="19"/>
  <c r="A114" i="19"/>
  <c r="F113" i="19"/>
  <c r="A113" i="19"/>
  <c r="F112" i="19"/>
  <c r="B112" i="19"/>
  <c r="A112" i="19"/>
  <c r="F111" i="19"/>
  <c r="F110" i="19"/>
  <c r="B110" i="19"/>
  <c r="A110" i="19"/>
  <c r="F109" i="19"/>
  <c r="B109" i="19"/>
  <c r="A109" i="19"/>
  <c r="F107" i="19"/>
  <c r="F105" i="19"/>
  <c r="B105" i="19"/>
  <c r="A105" i="19"/>
  <c r="F104" i="19"/>
  <c r="F103" i="19"/>
  <c r="B103" i="19"/>
  <c r="A103" i="19"/>
  <c r="F102" i="19"/>
  <c r="B102" i="19"/>
  <c r="A102" i="19"/>
  <c r="F101" i="19"/>
  <c r="B101" i="19"/>
  <c r="A101" i="19"/>
  <c r="F98" i="19"/>
  <c r="A96" i="19"/>
  <c r="A94" i="19"/>
  <c r="S91" i="19"/>
  <c r="R91" i="19"/>
  <c r="Q91" i="19"/>
  <c r="P91" i="19"/>
  <c r="O91" i="19"/>
  <c r="N91" i="19"/>
  <c r="N142" i="19" s="1"/>
  <c r="M91" i="19"/>
  <c r="M142" i="19" s="1"/>
  <c r="K91" i="19"/>
  <c r="I91" i="19"/>
  <c r="C91" i="19"/>
  <c r="A91" i="19"/>
  <c r="B89" i="19"/>
  <c r="A89" i="19"/>
  <c r="F88" i="19"/>
  <c r="B88" i="19"/>
  <c r="A88" i="19"/>
  <c r="F87" i="19"/>
  <c r="F86" i="19"/>
  <c r="B86" i="19"/>
  <c r="A86" i="19"/>
  <c r="F85" i="19"/>
  <c r="F84" i="19"/>
  <c r="F83" i="19"/>
  <c r="A83" i="19"/>
  <c r="F82" i="19"/>
  <c r="F81" i="19"/>
  <c r="F80" i="19"/>
  <c r="F79" i="19"/>
  <c r="F78" i="19"/>
  <c r="B78" i="19"/>
  <c r="A78" i="19"/>
  <c r="F77" i="19"/>
  <c r="F76" i="19"/>
  <c r="B76" i="19"/>
  <c r="A76" i="19"/>
  <c r="F75" i="19"/>
  <c r="F74" i="19"/>
  <c r="F72" i="19"/>
  <c r="B72" i="19"/>
  <c r="A72" i="19"/>
  <c r="F71" i="19"/>
  <c r="F70" i="19"/>
  <c r="B70" i="19"/>
  <c r="A70" i="19"/>
  <c r="F69" i="19"/>
  <c r="B69" i="19"/>
  <c r="A69" i="19"/>
  <c r="F68" i="19"/>
  <c r="A68" i="19"/>
  <c r="F67" i="19"/>
  <c r="B67" i="19"/>
  <c r="A67" i="19"/>
  <c r="F66" i="19"/>
  <c r="B66" i="19"/>
  <c r="A66" i="19"/>
  <c r="F65" i="19"/>
  <c r="B65" i="19"/>
  <c r="A65" i="19"/>
  <c r="F64" i="19"/>
  <c r="B64" i="19"/>
  <c r="A64" i="19"/>
  <c r="F63" i="19"/>
  <c r="A62" i="19"/>
  <c r="A61" i="19"/>
  <c r="A59" i="19"/>
  <c r="S56" i="19"/>
  <c r="R56" i="19"/>
  <c r="Q56" i="19"/>
  <c r="P56" i="19"/>
  <c r="O56" i="19"/>
  <c r="N56" i="19"/>
  <c r="M56" i="19"/>
  <c r="K56" i="19"/>
  <c r="I56" i="19"/>
  <c r="A56" i="19"/>
  <c r="A54" i="19"/>
  <c r="B53" i="19"/>
  <c r="A53" i="19"/>
  <c r="A50" i="19"/>
  <c r="S48" i="19"/>
  <c r="R48" i="19"/>
  <c r="Q48" i="19"/>
  <c r="P48" i="19"/>
  <c r="O48" i="19"/>
  <c r="N48" i="19"/>
  <c r="M48" i="19"/>
  <c r="K48" i="19"/>
  <c r="I48" i="19"/>
  <c r="A48" i="19"/>
  <c r="A46" i="19"/>
  <c r="A45" i="19"/>
  <c r="S43" i="19"/>
  <c r="R43" i="19"/>
  <c r="Q43" i="19"/>
  <c r="P43" i="19"/>
  <c r="P59" i="19" s="1"/>
  <c r="O43" i="19"/>
  <c r="O59" i="19" s="1"/>
  <c r="N43" i="19"/>
  <c r="M43" i="19"/>
  <c r="K43" i="19"/>
  <c r="K59" i="19" s="1"/>
  <c r="I43" i="19"/>
  <c r="C43" i="19"/>
  <c r="C59" i="19" s="1"/>
  <c r="A43" i="19"/>
  <c r="F41" i="19"/>
  <c r="A41" i="19"/>
  <c r="F40" i="19"/>
  <c r="F39" i="19"/>
  <c r="F38" i="19"/>
  <c r="B38" i="19"/>
  <c r="A38" i="19"/>
  <c r="F37" i="19"/>
  <c r="F36" i="19"/>
  <c r="B36" i="19"/>
  <c r="A36" i="19"/>
  <c r="F35" i="19"/>
  <c r="F33" i="19"/>
  <c r="F32" i="19"/>
  <c r="B32" i="19"/>
  <c r="A32" i="19"/>
  <c r="F30" i="19"/>
  <c r="B30" i="19"/>
  <c r="A30" i="19"/>
  <c r="F29" i="19"/>
  <c r="F28" i="19"/>
  <c r="A28" i="19"/>
  <c r="F27" i="19"/>
  <c r="B27" i="19"/>
  <c r="A27" i="19"/>
  <c r="F26" i="19"/>
  <c r="F25" i="19"/>
  <c r="A25" i="19"/>
  <c r="F24" i="19"/>
  <c r="F23" i="19"/>
  <c r="F22" i="19"/>
  <c r="F21" i="19"/>
  <c r="B21" i="19"/>
  <c r="A21" i="19"/>
  <c r="F20" i="19"/>
  <c r="F19" i="19"/>
  <c r="A19" i="19"/>
  <c r="F18" i="19"/>
  <c r="F17" i="19"/>
  <c r="B17" i="19"/>
  <c r="A17" i="19"/>
  <c r="F16" i="19"/>
  <c r="B16" i="19"/>
  <c r="A16" i="19"/>
  <c r="F15" i="19"/>
  <c r="B15" i="19"/>
  <c r="A15" i="19"/>
  <c r="F14" i="19"/>
  <c r="F13" i="19"/>
  <c r="B13" i="19"/>
  <c r="A13" i="19"/>
  <c r="F12" i="19"/>
  <c r="A12" i="19"/>
  <c r="F11" i="19"/>
  <c r="B11" i="19"/>
  <c r="A11" i="19"/>
  <c r="F10" i="19"/>
  <c r="B10" i="19"/>
  <c r="A10" i="19"/>
  <c r="F9" i="19"/>
  <c r="F8" i="19"/>
  <c r="B8" i="19"/>
  <c r="A8" i="19"/>
  <c r="A7" i="19"/>
  <c r="A6" i="19"/>
  <c r="F40" i="18"/>
  <c r="D139" i="18"/>
  <c r="D120" i="18"/>
  <c r="D129" i="18" s="1"/>
  <c r="D91" i="18"/>
  <c r="D28" i="18"/>
  <c r="D43" i="18" s="1"/>
  <c r="D59" i="18" s="1"/>
  <c r="H139" i="18"/>
  <c r="H129" i="18"/>
  <c r="H91" i="18"/>
  <c r="H56" i="18"/>
  <c r="H48" i="18"/>
  <c r="H43" i="18"/>
  <c r="A146" i="18"/>
  <c r="A142" i="18"/>
  <c r="R139" i="18"/>
  <c r="Q139" i="18"/>
  <c r="P139" i="18"/>
  <c r="O139" i="18"/>
  <c r="N139" i="18"/>
  <c r="M139" i="18"/>
  <c r="L139" i="18"/>
  <c r="J139" i="18"/>
  <c r="E139" i="18"/>
  <c r="F139" i="18" s="1"/>
  <c r="C139" i="18"/>
  <c r="A139" i="18"/>
  <c r="F137" i="18"/>
  <c r="B138" i="18"/>
  <c r="A138" i="18"/>
  <c r="F136" i="18"/>
  <c r="B136" i="18"/>
  <c r="A136" i="18"/>
  <c r="F134" i="18"/>
  <c r="A132" i="18"/>
  <c r="R129" i="18"/>
  <c r="Q129" i="18"/>
  <c r="P129" i="18"/>
  <c r="O129" i="18"/>
  <c r="N129" i="18"/>
  <c r="M129" i="18"/>
  <c r="L129" i="18"/>
  <c r="J129" i="18"/>
  <c r="E129" i="18"/>
  <c r="A129" i="18"/>
  <c r="F127" i="18"/>
  <c r="B127" i="18"/>
  <c r="A127" i="18"/>
  <c r="F126" i="18"/>
  <c r="B126" i="18"/>
  <c r="A126" i="18"/>
  <c r="F125" i="18"/>
  <c r="B125" i="18"/>
  <c r="A125" i="18"/>
  <c r="F124" i="18"/>
  <c r="F123" i="18"/>
  <c r="F121" i="18"/>
  <c r="B121" i="18"/>
  <c r="A121" i="18"/>
  <c r="F120" i="18"/>
  <c r="C120" i="18"/>
  <c r="B120" i="18"/>
  <c r="A120" i="18"/>
  <c r="F119" i="18"/>
  <c r="B119" i="18"/>
  <c r="A119" i="18"/>
  <c r="F118" i="18"/>
  <c r="F117" i="18"/>
  <c r="A117" i="18"/>
  <c r="F116" i="18"/>
  <c r="F115" i="18"/>
  <c r="F114" i="18"/>
  <c r="B114" i="18"/>
  <c r="A114" i="18"/>
  <c r="F113" i="18"/>
  <c r="A113" i="18"/>
  <c r="F112" i="18"/>
  <c r="B112" i="18"/>
  <c r="A112" i="18"/>
  <c r="F111" i="18"/>
  <c r="F110" i="18"/>
  <c r="B110" i="18"/>
  <c r="A110" i="18"/>
  <c r="F109" i="18"/>
  <c r="B109" i="18"/>
  <c r="A109" i="18"/>
  <c r="F107" i="18"/>
  <c r="F105" i="18"/>
  <c r="B105" i="18"/>
  <c r="A105" i="18"/>
  <c r="F104" i="18"/>
  <c r="F103" i="18"/>
  <c r="B103" i="18"/>
  <c r="A103" i="18"/>
  <c r="F102" i="18"/>
  <c r="B102" i="18"/>
  <c r="A102" i="18"/>
  <c r="F101" i="18"/>
  <c r="B101" i="18"/>
  <c r="A101" i="18"/>
  <c r="F98" i="18"/>
  <c r="A96" i="18"/>
  <c r="A94" i="18"/>
  <c r="R91" i="18"/>
  <c r="Q91" i="18"/>
  <c r="P91" i="18"/>
  <c r="O91" i="18"/>
  <c r="N91" i="18"/>
  <c r="M91" i="18"/>
  <c r="L91" i="18"/>
  <c r="J91" i="18"/>
  <c r="E91" i="18"/>
  <c r="C91" i="18"/>
  <c r="A91" i="18"/>
  <c r="B89" i="18"/>
  <c r="A89" i="18"/>
  <c r="F88" i="18"/>
  <c r="B88" i="18"/>
  <c r="A88" i="18"/>
  <c r="F87" i="18"/>
  <c r="F86" i="18"/>
  <c r="B86" i="18"/>
  <c r="A86" i="18"/>
  <c r="F85" i="18"/>
  <c r="F84" i="18"/>
  <c r="F83" i="18"/>
  <c r="A83" i="18"/>
  <c r="F82" i="18"/>
  <c r="F81" i="18"/>
  <c r="F80" i="18"/>
  <c r="F79" i="18"/>
  <c r="F78" i="18"/>
  <c r="B78" i="18"/>
  <c r="A78" i="18"/>
  <c r="F77" i="18"/>
  <c r="F76" i="18"/>
  <c r="B76" i="18"/>
  <c r="A76" i="18"/>
  <c r="F75" i="18"/>
  <c r="F74" i="18"/>
  <c r="F72" i="18"/>
  <c r="B72" i="18"/>
  <c r="A72" i="18"/>
  <c r="F71" i="18"/>
  <c r="F70" i="18"/>
  <c r="B70" i="18"/>
  <c r="A70" i="18"/>
  <c r="F69" i="18"/>
  <c r="B69" i="18"/>
  <c r="A69" i="18"/>
  <c r="F68" i="18"/>
  <c r="A68" i="18"/>
  <c r="F67" i="18"/>
  <c r="B67" i="18"/>
  <c r="A67" i="18"/>
  <c r="F66" i="18"/>
  <c r="B66" i="18"/>
  <c r="A66" i="18"/>
  <c r="F65" i="18"/>
  <c r="B65" i="18"/>
  <c r="A65" i="18"/>
  <c r="F64" i="18"/>
  <c r="B64" i="18"/>
  <c r="A64" i="18"/>
  <c r="F63" i="18"/>
  <c r="A62" i="18"/>
  <c r="A61" i="18"/>
  <c r="A59" i="18"/>
  <c r="R56" i="18"/>
  <c r="Q56" i="18"/>
  <c r="P56" i="18"/>
  <c r="O56" i="18"/>
  <c r="N56" i="18"/>
  <c r="M56" i="18"/>
  <c r="L56" i="18"/>
  <c r="J56" i="18"/>
  <c r="E56" i="18"/>
  <c r="A56" i="18"/>
  <c r="A54" i="18"/>
  <c r="B53" i="18"/>
  <c r="A53" i="18"/>
  <c r="A50" i="18"/>
  <c r="R48" i="18"/>
  <c r="Q48" i="18"/>
  <c r="P48" i="18"/>
  <c r="O48" i="18"/>
  <c r="N48" i="18"/>
  <c r="M48" i="18"/>
  <c r="L48" i="18"/>
  <c r="J48" i="18"/>
  <c r="E48" i="18"/>
  <c r="A48" i="18"/>
  <c r="A46" i="18"/>
  <c r="A45" i="18"/>
  <c r="R43" i="18"/>
  <c r="Q43" i="18"/>
  <c r="P43" i="18"/>
  <c r="O43" i="18"/>
  <c r="N43" i="18"/>
  <c r="M43" i="18"/>
  <c r="L43" i="18"/>
  <c r="J43" i="18"/>
  <c r="E43" i="18"/>
  <c r="A43" i="18"/>
  <c r="F41" i="18"/>
  <c r="A41" i="18"/>
  <c r="F39" i="18"/>
  <c r="F38" i="18"/>
  <c r="B38" i="18"/>
  <c r="A38" i="18"/>
  <c r="F37" i="18"/>
  <c r="F36" i="18"/>
  <c r="B36" i="18"/>
  <c r="A36" i="18"/>
  <c r="F35" i="18"/>
  <c r="F33" i="18"/>
  <c r="F32" i="18"/>
  <c r="B32" i="18"/>
  <c r="A32" i="18"/>
  <c r="F30" i="18"/>
  <c r="B30" i="18"/>
  <c r="A30" i="18"/>
  <c r="F29" i="18"/>
  <c r="F28" i="18"/>
  <c r="C43" i="18"/>
  <c r="A28" i="18"/>
  <c r="F27" i="18"/>
  <c r="B27" i="18"/>
  <c r="A27" i="18"/>
  <c r="F26" i="18"/>
  <c r="F25" i="18"/>
  <c r="A25" i="18"/>
  <c r="F24" i="18"/>
  <c r="F23" i="18"/>
  <c r="F22" i="18"/>
  <c r="F21" i="18"/>
  <c r="B21" i="18"/>
  <c r="A21" i="18"/>
  <c r="F20" i="18"/>
  <c r="F19" i="18"/>
  <c r="A19" i="18"/>
  <c r="F18" i="18"/>
  <c r="F17" i="18"/>
  <c r="B17" i="18"/>
  <c r="A17" i="18"/>
  <c r="F16" i="18"/>
  <c r="B16" i="18"/>
  <c r="A16" i="18"/>
  <c r="F15" i="18"/>
  <c r="B15" i="18"/>
  <c r="A15" i="18"/>
  <c r="F14" i="18"/>
  <c r="F13" i="18"/>
  <c r="B13" i="18"/>
  <c r="A13" i="18"/>
  <c r="F12" i="18"/>
  <c r="A12" i="18"/>
  <c r="F11" i="18"/>
  <c r="B11" i="18"/>
  <c r="A11" i="18"/>
  <c r="F10" i="18"/>
  <c r="B10" i="18"/>
  <c r="A10" i="18"/>
  <c r="F9" i="18"/>
  <c r="F8" i="18"/>
  <c r="B8" i="18"/>
  <c r="A8" i="18"/>
  <c r="A7" i="18"/>
  <c r="A6" i="18"/>
  <c r="A140" i="17"/>
  <c r="A136" i="17"/>
  <c r="P133" i="17"/>
  <c r="O133" i="17"/>
  <c r="N133" i="17"/>
  <c r="M133" i="17"/>
  <c r="L133" i="17"/>
  <c r="K133" i="17"/>
  <c r="J133" i="17"/>
  <c r="H133" i="17"/>
  <c r="E133" i="17"/>
  <c r="F133" i="17" s="1"/>
  <c r="D133" i="17"/>
  <c r="C133" i="17"/>
  <c r="A133" i="17"/>
  <c r="F131" i="17"/>
  <c r="B131" i="17"/>
  <c r="A131" i="17"/>
  <c r="F130" i="17"/>
  <c r="B130" i="17"/>
  <c r="A130" i="17"/>
  <c r="F129" i="17"/>
  <c r="A128" i="17"/>
  <c r="P125" i="17"/>
  <c r="O125" i="17"/>
  <c r="N125" i="17"/>
  <c r="M125" i="17"/>
  <c r="L125" i="17"/>
  <c r="K125" i="17"/>
  <c r="J125" i="17"/>
  <c r="H125" i="17"/>
  <c r="E125" i="17"/>
  <c r="D125" i="17"/>
  <c r="F125" i="17" s="1"/>
  <c r="C125" i="17"/>
  <c r="A125" i="17"/>
  <c r="F123" i="17"/>
  <c r="B123" i="17"/>
  <c r="A123" i="17"/>
  <c r="F122" i="17"/>
  <c r="B122" i="17"/>
  <c r="A122" i="17"/>
  <c r="F121" i="17"/>
  <c r="B121" i="17"/>
  <c r="A121" i="17"/>
  <c r="F120" i="17"/>
  <c r="F119" i="17"/>
  <c r="F117" i="17"/>
  <c r="B117" i="17"/>
  <c r="A117" i="17"/>
  <c r="F116" i="17"/>
  <c r="B116" i="17"/>
  <c r="A116" i="17"/>
  <c r="F115" i="17"/>
  <c r="B115" i="17"/>
  <c r="A115" i="17"/>
  <c r="F114" i="17"/>
  <c r="F113" i="17"/>
  <c r="A113" i="17"/>
  <c r="F112" i="17"/>
  <c r="F111" i="17"/>
  <c r="F110" i="17"/>
  <c r="B110" i="17"/>
  <c r="A110" i="17"/>
  <c r="F109" i="17"/>
  <c r="A109" i="17"/>
  <c r="F108" i="17"/>
  <c r="B108" i="17"/>
  <c r="A108" i="17"/>
  <c r="F107" i="17"/>
  <c r="F106" i="17"/>
  <c r="B106" i="17"/>
  <c r="A106" i="17"/>
  <c r="F105" i="17"/>
  <c r="B105" i="17"/>
  <c r="A105" i="17"/>
  <c r="F104" i="17"/>
  <c r="F103" i="17"/>
  <c r="B103" i="17"/>
  <c r="A103" i="17"/>
  <c r="F102" i="17"/>
  <c r="F101" i="17"/>
  <c r="B101" i="17"/>
  <c r="A101" i="17"/>
  <c r="F100" i="17"/>
  <c r="B100" i="17"/>
  <c r="A100" i="17"/>
  <c r="F99" i="17"/>
  <c r="B99" i="17"/>
  <c r="A99" i="17"/>
  <c r="F97" i="17"/>
  <c r="A94" i="17"/>
  <c r="A92" i="17"/>
  <c r="P89" i="17"/>
  <c r="P136" i="17" s="1"/>
  <c r="O89" i="17"/>
  <c r="O136" i="17" s="1"/>
  <c r="N89" i="17"/>
  <c r="N136" i="17" s="1"/>
  <c r="M89" i="17"/>
  <c r="M136" i="17" s="1"/>
  <c r="L89" i="17"/>
  <c r="L136" i="17" s="1"/>
  <c r="K89" i="17"/>
  <c r="K136" i="17" s="1"/>
  <c r="J89" i="17"/>
  <c r="J136" i="17" s="1"/>
  <c r="H89" i="17"/>
  <c r="H136" i="17" s="1"/>
  <c r="E89" i="17"/>
  <c r="E136" i="17" s="1"/>
  <c r="D89" i="17"/>
  <c r="C89" i="17"/>
  <c r="C136" i="17" s="1"/>
  <c r="A89" i="17"/>
  <c r="B87" i="17"/>
  <c r="A87" i="17"/>
  <c r="F86" i="17"/>
  <c r="B86" i="17"/>
  <c r="A86" i="17"/>
  <c r="F85" i="17"/>
  <c r="F84" i="17"/>
  <c r="B84" i="17"/>
  <c r="A84" i="17"/>
  <c r="F83" i="17"/>
  <c r="F82" i="17"/>
  <c r="F81" i="17"/>
  <c r="A81" i="17"/>
  <c r="F80" i="17"/>
  <c r="F79" i="17"/>
  <c r="F78" i="17"/>
  <c r="F77" i="17"/>
  <c r="F76" i="17"/>
  <c r="B76" i="17"/>
  <c r="A76" i="17"/>
  <c r="F75" i="17"/>
  <c r="F74" i="17"/>
  <c r="B74" i="17"/>
  <c r="A74" i="17"/>
  <c r="F73" i="17"/>
  <c r="F72" i="17"/>
  <c r="F70" i="17"/>
  <c r="B70" i="17"/>
  <c r="A70" i="17"/>
  <c r="F69" i="17"/>
  <c r="F68" i="17"/>
  <c r="B68" i="17"/>
  <c r="A68" i="17"/>
  <c r="F67" i="17"/>
  <c r="B67" i="17"/>
  <c r="A67" i="17"/>
  <c r="F66" i="17"/>
  <c r="A66" i="17"/>
  <c r="F65" i="17"/>
  <c r="B65" i="17"/>
  <c r="A65" i="17"/>
  <c r="F64" i="17"/>
  <c r="B64" i="17"/>
  <c r="A64" i="17"/>
  <c r="F63" i="17"/>
  <c r="B63" i="17"/>
  <c r="A63" i="17"/>
  <c r="F62" i="17"/>
  <c r="B62" i="17"/>
  <c r="A62" i="17"/>
  <c r="F61" i="17"/>
  <c r="A60" i="17"/>
  <c r="A59" i="17"/>
  <c r="K57" i="17"/>
  <c r="K140" i="17" s="1"/>
  <c r="J57" i="17"/>
  <c r="J140" i="17" s="1"/>
  <c r="D57" i="17"/>
  <c r="C57" i="17"/>
  <c r="C140" i="17" s="1"/>
  <c r="A57" i="17"/>
  <c r="P54" i="17"/>
  <c r="O54" i="17"/>
  <c r="N54" i="17"/>
  <c r="M54" i="17"/>
  <c r="L54" i="17"/>
  <c r="K54" i="17"/>
  <c r="J54" i="17"/>
  <c r="H54" i="17"/>
  <c r="E54" i="17"/>
  <c r="A54" i="17"/>
  <c r="A52" i="17"/>
  <c r="B51" i="17"/>
  <c r="A51" i="17"/>
  <c r="A48" i="17"/>
  <c r="P46" i="17"/>
  <c r="P57" i="17" s="1"/>
  <c r="O46" i="17"/>
  <c r="N46" i="17"/>
  <c r="N57" i="17" s="1"/>
  <c r="M46" i="17"/>
  <c r="M57" i="17" s="1"/>
  <c r="L46" i="17"/>
  <c r="K46" i="17"/>
  <c r="J46" i="17"/>
  <c r="H46" i="17"/>
  <c r="E46" i="17"/>
  <c r="A46" i="17"/>
  <c r="A44" i="17"/>
  <c r="A43" i="17"/>
  <c r="P41" i="17"/>
  <c r="O41" i="17"/>
  <c r="O57" i="17" s="1"/>
  <c r="N41" i="17"/>
  <c r="M41" i="17"/>
  <c r="L41" i="17"/>
  <c r="L57" i="17" s="1"/>
  <c r="K41" i="17"/>
  <c r="J41" i="17"/>
  <c r="H41" i="17"/>
  <c r="H57" i="17" s="1"/>
  <c r="E41" i="17"/>
  <c r="E57" i="17" s="1"/>
  <c r="D41" i="17"/>
  <c r="F41" i="17" s="1"/>
  <c r="C41" i="17"/>
  <c r="A41" i="17"/>
  <c r="F39" i="17"/>
  <c r="A39" i="17"/>
  <c r="F38" i="17"/>
  <c r="F37" i="17"/>
  <c r="B37" i="17"/>
  <c r="A37" i="17"/>
  <c r="F36" i="17"/>
  <c r="F35" i="17"/>
  <c r="B35" i="17"/>
  <c r="A35" i="17"/>
  <c r="F34" i="17"/>
  <c r="F32" i="17"/>
  <c r="F31" i="17"/>
  <c r="B31" i="17"/>
  <c r="A31" i="17"/>
  <c r="F30" i="17"/>
  <c r="B30" i="17"/>
  <c r="A30" i="17"/>
  <c r="F29" i="17"/>
  <c r="F28" i="17"/>
  <c r="A28" i="17"/>
  <c r="F27" i="17"/>
  <c r="B27" i="17"/>
  <c r="A27" i="17"/>
  <c r="F26" i="17"/>
  <c r="F25" i="17"/>
  <c r="A25" i="17"/>
  <c r="F24" i="17"/>
  <c r="F23" i="17"/>
  <c r="F22" i="17"/>
  <c r="F21" i="17"/>
  <c r="B21" i="17"/>
  <c r="A21" i="17"/>
  <c r="F20" i="17"/>
  <c r="F19" i="17"/>
  <c r="A19" i="17"/>
  <c r="F18" i="17"/>
  <c r="F17" i="17"/>
  <c r="B17" i="17"/>
  <c r="A17" i="17"/>
  <c r="F16" i="17"/>
  <c r="B16" i="17"/>
  <c r="A16" i="17"/>
  <c r="F15" i="17"/>
  <c r="B15" i="17"/>
  <c r="A15" i="17"/>
  <c r="F14" i="17"/>
  <c r="F13" i="17"/>
  <c r="B13" i="17"/>
  <c r="A13" i="17"/>
  <c r="F12" i="17"/>
  <c r="A12" i="17"/>
  <c r="F11" i="17"/>
  <c r="B11" i="17"/>
  <c r="A11" i="17"/>
  <c r="F10" i="17"/>
  <c r="B10" i="17"/>
  <c r="A10" i="17"/>
  <c r="F9" i="17"/>
  <c r="F8" i="17"/>
  <c r="B8" i="17"/>
  <c r="A8" i="17"/>
  <c r="A7" i="17"/>
  <c r="A6" i="17"/>
  <c r="E94" i="19" l="1"/>
  <c r="I59" i="19"/>
  <c r="I142" i="19"/>
  <c r="Q59" i="19"/>
  <c r="R59" i="19"/>
  <c r="R94" i="19" s="1"/>
  <c r="S59" i="19"/>
  <c r="K142" i="19"/>
  <c r="P142" i="19"/>
  <c r="F43" i="19"/>
  <c r="Q142" i="19"/>
  <c r="D142" i="19"/>
  <c r="D146" i="19" s="1"/>
  <c r="O142" i="19"/>
  <c r="R142" i="19"/>
  <c r="M59" i="19"/>
  <c r="M94" i="19" s="1"/>
  <c r="S142" i="19"/>
  <c r="S146" i="19" s="1"/>
  <c r="N59" i="19"/>
  <c r="N94" i="19" s="1"/>
  <c r="C142" i="19"/>
  <c r="C146" i="19" s="1"/>
  <c r="E142" i="19"/>
  <c r="E146" i="19" s="1"/>
  <c r="F129" i="19"/>
  <c r="D94" i="19"/>
  <c r="Q146" i="19"/>
  <c r="Q94" i="19"/>
  <c r="O94" i="19"/>
  <c r="O146" i="19"/>
  <c r="P146" i="19"/>
  <c r="P94" i="19"/>
  <c r="R146" i="19"/>
  <c r="S94" i="19"/>
  <c r="K146" i="19"/>
  <c r="K94" i="19"/>
  <c r="F59" i="19"/>
  <c r="C94" i="19"/>
  <c r="I94" i="19"/>
  <c r="I146" i="19"/>
  <c r="F120" i="19"/>
  <c r="C59" i="18"/>
  <c r="C129" i="18"/>
  <c r="J142" i="18"/>
  <c r="D142" i="18"/>
  <c r="D146" i="18" s="1"/>
  <c r="M59" i="18"/>
  <c r="L142" i="18"/>
  <c r="H59" i="18"/>
  <c r="F129" i="18"/>
  <c r="O142" i="18"/>
  <c r="Q59" i="18"/>
  <c r="Q94" i="18" s="1"/>
  <c r="R59" i="18"/>
  <c r="H142" i="18"/>
  <c r="D94" i="18"/>
  <c r="F43" i="18"/>
  <c r="H146" i="18"/>
  <c r="H94" i="18"/>
  <c r="P142" i="18"/>
  <c r="O59" i="18"/>
  <c r="O146" i="18" s="1"/>
  <c r="J59" i="18"/>
  <c r="J146" i="18" s="1"/>
  <c r="C142" i="18"/>
  <c r="C146" i="18" s="1"/>
  <c r="Q142" i="18"/>
  <c r="N59" i="18"/>
  <c r="E59" i="18"/>
  <c r="P59" i="18"/>
  <c r="P94" i="18" s="1"/>
  <c r="L59" i="18"/>
  <c r="L146" i="18" s="1"/>
  <c r="E142" i="18"/>
  <c r="R142" i="18"/>
  <c r="M142" i="18"/>
  <c r="M146" i="18" s="1"/>
  <c r="N142" i="18"/>
  <c r="M94" i="18"/>
  <c r="J94" i="18"/>
  <c r="C94" i="18"/>
  <c r="R94" i="18"/>
  <c r="L140" i="17"/>
  <c r="L92" i="17"/>
  <c r="P92" i="17"/>
  <c r="P140" i="17"/>
  <c r="O140" i="17"/>
  <c r="O92" i="17"/>
  <c r="N140" i="17"/>
  <c r="N92" i="17"/>
  <c r="E140" i="17"/>
  <c r="F140" i="17" s="1"/>
  <c r="E92" i="17"/>
  <c r="F57" i="17"/>
  <c r="H92" i="17"/>
  <c r="H140" i="17"/>
  <c r="M140" i="17"/>
  <c r="M92" i="17"/>
  <c r="J92" i="17"/>
  <c r="K92" i="17"/>
  <c r="C92" i="17"/>
  <c r="N146" i="19" l="1"/>
  <c r="M146" i="19"/>
  <c r="F146" i="19"/>
  <c r="N146" i="18"/>
  <c r="O94" i="18"/>
  <c r="Q146" i="18"/>
  <c r="L94" i="18"/>
  <c r="F59" i="18"/>
  <c r="E94" i="18"/>
  <c r="R146" i="18"/>
  <c r="P146" i="18"/>
  <c r="E146" i="18"/>
  <c r="F146" i="18" s="1"/>
  <c r="N94" i="18"/>
  <c r="C117" i="16"/>
  <c r="F97" i="16"/>
  <c r="C28" i="16"/>
  <c r="D43" i="8"/>
  <c r="D75" i="8"/>
  <c r="B126" i="8"/>
  <c r="B122" i="8"/>
  <c r="D119" i="8"/>
  <c r="B119" i="8"/>
  <c r="C117" i="8"/>
  <c r="B117" i="8"/>
  <c r="C116" i="8"/>
  <c r="B116" i="8"/>
  <c r="B114" i="8"/>
  <c r="D111" i="8"/>
  <c r="B111" i="8"/>
  <c r="C109" i="8"/>
  <c r="B109" i="8"/>
  <c r="C108" i="8"/>
  <c r="B108" i="8"/>
  <c r="C107" i="8"/>
  <c r="B107" i="8"/>
  <c r="C103" i="8"/>
  <c r="B103" i="8"/>
  <c r="C102" i="8"/>
  <c r="B102" i="8"/>
  <c r="C101" i="8"/>
  <c r="B101" i="8"/>
  <c r="B99" i="8"/>
  <c r="C96" i="8"/>
  <c r="B96" i="8"/>
  <c r="B95" i="8"/>
  <c r="C94" i="8"/>
  <c r="B94" i="8"/>
  <c r="C92" i="8"/>
  <c r="B92" i="8"/>
  <c r="C91" i="8"/>
  <c r="B91" i="8"/>
  <c r="C89" i="8"/>
  <c r="B89" i="8"/>
  <c r="C87" i="8"/>
  <c r="B87" i="8"/>
  <c r="C86" i="8"/>
  <c r="B86" i="8"/>
  <c r="C85" i="8"/>
  <c r="B85" i="8"/>
  <c r="B80" i="8"/>
  <c r="B78" i="8"/>
  <c r="B75" i="8"/>
  <c r="C73" i="8"/>
  <c r="B73" i="8"/>
  <c r="C72" i="8"/>
  <c r="B72" i="8"/>
  <c r="C70" i="8"/>
  <c r="B70" i="8"/>
  <c r="B67" i="8"/>
  <c r="C62" i="8"/>
  <c r="B62" i="8"/>
  <c r="C60" i="8"/>
  <c r="B60" i="8"/>
  <c r="C56" i="8"/>
  <c r="B56" i="8"/>
  <c r="C54" i="8"/>
  <c r="B54" i="8"/>
  <c r="C53" i="8"/>
  <c r="B53" i="8"/>
  <c r="B52" i="8"/>
  <c r="C51" i="8"/>
  <c r="B51" i="8"/>
  <c r="C50" i="8"/>
  <c r="B50" i="8"/>
  <c r="C49" i="8"/>
  <c r="B49" i="8"/>
  <c r="C48" i="8"/>
  <c r="B48" i="8"/>
  <c r="B46" i="8"/>
  <c r="B45" i="8"/>
  <c r="B43" i="8"/>
  <c r="D41" i="8"/>
  <c r="B41" i="8"/>
  <c r="B39" i="8"/>
  <c r="C37" i="8"/>
  <c r="B37" i="8"/>
  <c r="C35" i="8"/>
  <c r="B35" i="8"/>
  <c r="C31" i="8"/>
  <c r="B31" i="8"/>
  <c r="C30" i="8"/>
  <c r="B30" i="8"/>
  <c r="B28" i="8"/>
  <c r="C27" i="8"/>
  <c r="B27" i="8"/>
  <c r="B25" i="8"/>
  <c r="C21" i="8"/>
  <c r="B21" i="8"/>
  <c r="B19" i="8"/>
  <c r="C17" i="8"/>
  <c r="B17" i="8"/>
  <c r="C16" i="8"/>
  <c r="B16" i="8"/>
  <c r="C15" i="8"/>
  <c r="B15" i="8"/>
  <c r="C13" i="8"/>
  <c r="B13" i="8"/>
  <c r="B12" i="8"/>
  <c r="C11" i="8"/>
  <c r="B11" i="8"/>
  <c r="C10" i="8"/>
  <c r="B10" i="8"/>
  <c r="C8" i="8"/>
  <c r="B8" i="8"/>
  <c r="B7" i="8"/>
  <c r="B6" i="8"/>
  <c r="A138" i="15"/>
  <c r="O134" i="15"/>
  <c r="C134" i="15"/>
  <c r="A134" i="15"/>
  <c r="O131" i="15"/>
  <c r="N131" i="15"/>
  <c r="M131" i="15"/>
  <c r="L131" i="15"/>
  <c r="K131" i="15"/>
  <c r="K134" i="15" s="1"/>
  <c r="J131" i="15"/>
  <c r="I131" i="15"/>
  <c r="I134" i="15" s="1"/>
  <c r="E131" i="15"/>
  <c r="F131" i="15" s="1"/>
  <c r="C131" i="15"/>
  <c r="A131" i="15"/>
  <c r="F129" i="15"/>
  <c r="B129" i="15"/>
  <c r="A129" i="15"/>
  <c r="F128" i="15"/>
  <c r="B128" i="15"/>
  <c r="A128" i="15"/>
  <c r="F127" i="15"/>
  <c r="A126" i="15"/>
  <c r="O123" i="15"/>
  <c r="N123" i="15"/>
  <c r="M123" i="15"/>
  <c r="L123" i="15"/>
  <c r="K123" i="15"/>
  <c r="J123" i="15"/>
  <c r="I123" i="15"/>
  <c r="E123" i="15"/>
  <c r="D123" i="15"/>
  <c r="F123" i="15" s="1"/>
  <c r="C123" i="15"/>
  <c r="A123" i="15"/>
  <c r="F121" i="15"/>
  <c r="B121" i="15"/>
  <c r="A121" i="15"/>
  <c r="F120" i="15"/>
  <c r="B120" i="15"/>
  <c r="A120" i="15"/>
  <c r="F119" i="15"/>
  <c r="B119" i="15"/>
  <c r="A119" i="15"/>
  <c r="F118" i="15"/>
  <c r="F117" i="15"/>
  <c r="F116" i="15"/>
  <c r="B116" i="15"/>
  <c r="A116" i="15"/>
  <c r="F115" i="15"/>
  <c r="B115" i="15"/>
  <c r="A115" i="15"/>
  <c r="F114" i="15"/>
  <c r="B114" i="15"/>
  <c r="A114" i="15"/>
  <c r="F113" i="15"/>
  <c r="F112" i="15"/>
  <c r="A112" i="15"/>
  <c r="F111" i="15"/>
  <c r="F110" i="15"/>
  <c r="F109" i="15"/>
  <c r="B109" i="15"/>
  <c r="A109" i="15"/>
  <c r="F108" i="15"/>
  <c r="A108" i="15"/>
  <c r="F107" i="15"/>
  <c r="B107" i="15"/>
  <c r="A107" i="15"/>
  <c r="F106" i="15"/>
  <c r="F105" i="15"/>
  <c r="B105" i="15"/>
  <c r="A105" i="15"/>
  <c r="F104" i="15"/>
  <c r="B104" i="15"/>
  <c r="A104" i="15"/>
  <c r="F103" i="15"/>
  <c r="F102" i="15"/>
  <c r="B102" i="15"/>
  <c r="A102" i="15"/>
  <c r="F101" i="15"/>
  <c r="F100" i="15"/>
  <c r="B100" i="15"/>
  <c r="A100" i="15"/>
  <c r="F99" i="15"/>
  <c r="B99" i="15"/>
  <c r="A99" i="15"/>
  <c r="F98" i="15"/>
  <c r="B98" i="15"/>
  <c r="A98" i="15"/>
  <c r="F97" i="15"/>
  <c r="A94" i="15"/>
  <c r="A92" i="15"/>
  <c r="O89" i="15"/>
  <c r="N89" i="15"/>
  <c r="N134" i="15" s="1"/>
  <c r="M89" i="15"/>
  <c r="M134" i="15" s="1"/>
  <c r="L89" i="15"/>
  <c r="L134" i="15" s="1"/>
  <c r="K89" i="15"/>
  <c r="J89" i="15"/>
  <c r="J134" i="15" s="1"/>
  <c r="I89" i="15"/>
  <c r="E89" i="15"/>
  <c r="E134" i="15" s="1"/>
  <c r="C89" i="15"/>
  <c r="A89" i="15"/>
  <c r="B87" i="15"/>
  <c r="A87" i="15"/>
  <c r="F86" i="15"/>
  <c r="B86" i="15"/>
  <c r="A86" i="15"/>
  <c r="F85" i="15"/>
  <c r="F84" i="15"/>
  <c r="B84" i="15"/>
  <c r="A84" i="15"/>
  <c r="F83" i="15"/>
  <c r="F82" i="15"/>
  <c r="F81" i="15"/>
  <c r="A81" i="15"/>
  <c r="F80" i="15"/>
  <c r="F79" i="15"/>
  <c r="F78" i="15"/>
  <c r="F77" i="15"/>
  <c r="F76" i="15"/>
  <c r="B76" i="15"/>
  <c r="A76" i="15"/>
  <c r="F75" i="15"/>
  <c r="F74" i="15"/>
  <c r="B74" i="15"/>
  <c r="A74" i="15"/>
  <c r="F73" i="15"/>
  <c r="F72" i="15"/>
  <c r="F70" i="15"/>
  <c r="B70" i="15"/>
  <c r="A70" i="15"/>
  <c r="F69" i="15"/>
  <c r="F68" i="15"/>
  <c r="B68" i="15"/>
  <c r="A68" i="15"/>
  <c r="F67" i="15"/>
  <c r="B67" i="15"/>
  <c r="A67" i="15"/>
  <c r="F66" i="15"/>
  <c r="A66" i="15"/>
  <c r="F65" i="15"/>
  <c r="B65" i="15"/>
  <c r="A65" i="15"/>
  <c r="F64" i="15"/>
  <c r="B64" i="15"/>
  <c r="A64" i="15"/>
  <c r="F63" i="15"/>
  <c r="B63" i="15"/>
  <c r="A63" i="15"/>
  <c r="F62" i="15"/>
  <c r="B62" i="15"/>
  <c r="A62" i="15"/>
  <c r="F61" i="15"/>
  <c r="A60" i="15"/>
  <c r="A59" i="15"/>
  <c r="A57" i="15"/>
  <c r="O54" i="15"/>
  <c r="N54" i="15"/>
  <c r="M54" i="15"/>
  <c r="L54" i="15"/>
  <c r="K54" i="15"/>
  <c r="J54" i="15"/>
  <c r="I54" i="15"/>
  <c r="E54" i="15"/>
  <c r="A54" i="15"/>
  <c r="A52" i="15"/>
  <c r="B51" i="15"/>
  <c r="A51" i="15"/>
  <c r="A49" i="15"/>
  <c r="O47" i="15"/>
  <c r="N47" i="15"/>
  <c r="M47" i="15"/>
  <c r="M57" i="15" s="1"/>
  <c r="L47" i="15"/>
  <c r="K47" i="15"/>
  <c r="K57" i="15" s="1"/>
  <c r="J47" i="15"/>
  <c r="I47" i="15"/>
  <c r="I57" i="15" s="1"/>
  <c r="E47" i="15"/>
  <c r="A47" i="15"/>
  <c r="A45" i="15"/>
  <c r="A44" i="15"/>
  <c r="O42" i="15"/>
  <c r="O57" i="15" s="1"/>
  <c r="N42" i="15"/>
  <c r="N57" i="15" s="1"/>
  <c r="M42" i="15"/>
  <c r="L42" i="15"/>
  <c r="L57" i="15" s="1"/>
  <c r="K42" i="15"/>
  <c r="J42" i="15"/>
  <c r="J57" i="15" s="1"/>
  <c r="I42" i="15"/>
  <c r="F42" i="15"/>
  <c r="E42" i="15"/>
  <c r="E57" i="15" s="1"/>
  <c r="C42" i="15"/>
  <c r="C57" i="15" s="1"/>
  <c r="A42" i="15"/>
  <c r="F40" i="15"/>
  <c r="A40" i="15"/>
  <c r="F39" i="15"/>
  <c r="F38" i="15"/>
  <c r="B38" i="15"/>
  <c r="A38" i="15"/>
  <c r="F37" i="15"/>
  <c r="F36" i="15"/>
  <c r="B36" i="15"/>
  <c r="A36" i="15"/>
  <c r="F35" i="15"/>
  <c r="F33" i="15"/>
  <c r="F32" i="15"/>
  <c r="B32" i="15"/>
  <c r="A32" i="15"/>
  <c r="F31" i="15"/>
  <c r="B31" i="15"/>
  <c r="A31" i="15"/>
  <c r="F30" i="15"/>
  <c r="F29" i="15"/>
  <c r="A29" i="15"/>
  <c r="F28" i="15"/>
  <c r="B28" i="15"/>
  <c r="A28" i="15"/>
  <c r="F27" i="15"/>
  <c r="F26" i="15"/>
  <c r="A26" i="15"/>
  <c r="F25" i="15"/>
  <c r="F24" i="15"/>
  <c r="F23" i="15"/>
  <c r="F22" i="15"/>
  <c r="B22" i="15"/>
  <c r="A22" i="15"/>
  <c r="F21" i="15"/>
  <c r="F20" i="15"/>
  <c r="A20" i="15"/>
  <c r="F19" i="15"/>
  <c r="F18" i="15"/>
  <c r="F17" i="15"/>
  <c r="B17" i="15"/>
  <c r="A17" i="15"/>
  <c r="F16" i="15"/>
  <c r="B16" i="15"/>
  <c r="A16" i="15"/>
  <c r="F15" i="15"/>
  <c r="B15" i="15"/>
  <c r="A15" i="15"/>
  <c r="F14" i="15"/>
  <c r="F13" i="15"/>
  <c r="B13" i="15"/>
  <c r="A13" i="15"/>
  <c r="F12" i="15"/>
  <c r="A12" i="15"/>
  <c r="F11" i="15"/>
  <c r="B11" i="15"/>
  <c r="A11" i="15"/>
  <c r="F10" i="15"/>
  <c r="B10" i="15"/>
  <c r="A10" i="15"/>
  <c r="F9" i="15"/>
  <c r="F8" i="15"/>
  <c r="B8" i="15"/>
  <c r="A8" i="15"/>
  <c r="A7" i="15"/>
  <c r="A6" i="15"/>
  <c r="D122" i="8" l="1"/>
  <c r="D126" i="8" s="1"/>
  <c r="D78" i="8"/>
  <c r="J92" i="15"/>
  <c r="J138" i="15"/>
  <c r="L138" i="15"/>
  <c r="L92" i="15"/>
  <c r="C138" i="15"/>
  <c r="C92" i="15"/>
  <c r="N138" i="15"/>
  <c r="N92" i="15"/>
  <c r="K92" i="15"/>
  <c r="K138" i="15"/>
  <c r="I92" i="15"/>
  <c r="I138" i="15"/>
  <c r="E138" i="15"/>
  <c r="F138" i="15" s="1"/>
  <c r="E92" i="15"/>
  <c r="F57" i="15"/>
  <c r="O138" i="15"/>
  <c r="O92" i="15"/>
  <c r="M138" i="15"/>
  <c r="M92" i="15"/>
  <c r="A143" i="16" l="1"/>
  <c r="A139" i="16"/>
  <c r="Q136" i="16"/>
  <c r="P136" i="16"/>
  <c r="O136" i="16"/>
  <c r="N136" i="16"/>
  <c r="M136" i="16"/>
  <c r="L136" i="16"/>
  <c r="K136" i="16"/>
  <c r="I136" i="16"/>
  <c r="E136" i="16"/>
  <c r="F136" i="16" s="1"/>
  <c r="C136" i="16"/>
  <c r="A136" i="16"/>
  <c r="F134" i="16"/>
  <c r="B134" i="16"/>
  <c r="A134" i="16"/>
  <c r="F133" i="16"/>
  <c r="B133" i="16"/>
  <c r="A133" i="16"/>
  <c r="F131" i="16"/>
  <c r="A129" i="16"/>
  <c r="Q126" i="16"/>
  <c r="P126" i="16"/>
  <c r="O126" i="16"/>
  <c r="N126" i="16"/>
  <c r="M126" i="16"/>
  <c r="L126" i="16"/>
  <c r="K126" i="16"/>
  <c r="I126" i="16"/>
  <c r="E126" i="16"/>
  <c r="F126" i="16" s="1"/>
  <c r="C126" i="16"/>
  <c r="A126" i="16"/>
  <c r="F124" i="16"/>
  <c r="B124" i="16"/>
  <c r="A124" i="16"/>
  <c r="F123" i="16"/>
  <c r="B123" i="16"/>
  <c r="A123" i="16"/>
  <c r="F122" i="16"/>
  <c r="B122" i="16"/>
  <c r="A122" i="16"/>
  <c r="F121" i="16"/>
  <c r="F120" i="16"/>
  <c r="F118" i="16"/>
  <c r="B118" i="16"/>
  <c r="A118" i="16"/>
  <c r="F117" i="16"/>
  <c r="B117" i="16"/>
  <c r="A117" i="16"/>
  <c r="F116" i="16"/>
  <c r="B116" i="16"/>
  <c r="A116" i="16"/>
  <c r="F115" i="16"/>
  <c r="F114" i="16"/>
  <c r="A114" i="16"/>
  <c r="F113" i="16"/>
  <c r="F112" i="16"/>
  <c r="F111" i="16"/>
  <c r="B111" i="16"/>
  <c r="A111" i="16"/>
  <c r="F110" i="16"/>
  <c r="A110" i="16"/>
  <c r="F109" i="16"/>
  <c r="B109" i="16"/>
  <c r="A109" i="16"/>
  <c r="F108" i="16"/>
  <c r="F107" i="16"/>
  <c r="B107" i="16"/>
  <c r="A107" i="16"/>
  <c r="F106" i="16"/>
  <c r="B106" i="16"/>
  <c r="A106" i="16"/>
  <c r="F105" i="16"/>
  <c r="F104" i="16"/>
  <c r="B104" i="16"/>
  <c r="A104" i="16"/>
  <c r="F103" i="16"/>
  <c r="F102" i="16"/>
  <c r="B102" i="16"/>
  <c r="A102" i="16"/>
  <c r="F101" i="16"/>
  <c r="B101" i="16"/>
  <c r="A101" i="16"/>
  <c r="F100" i="16"/>
  <c r="B100" i="16"/>
  <c r="A100" i="16"/>
  <c r="A95" i="16"/>
  <c r="A93" i="16"/>
  <c r="Q90" i="16"/>
  <c r="P90" i="16"/>
  <c r="O90" i="16"/>
  <c r="N90" i="16"/>
  <c r="M90" i="16"/>
  <c r="L90" i="16"/>
  <c r="K90" i="16"/>
  <c r="I90" i="16"/>
  <c r="E90" i="16"/>
  <c r="C90" i="16"/>
  <c r="A90" i="16"/>
  <c r="B88" i="16"/>
  <c r="A88" i="16"/>
  <c r="F87" i="16"/>
  <c r="B87" i="16"/>
  <c r="A87" i="16"/>
  <c r="F86" i="16"/>
  <c r="F85" i="16"/>
  <c r="B85" i="16"/>
  <c r="A85" i="16"/>
  <c r="F84" i="16"/>
  <c r="F83" i="16"/>
  <c r="F82" i="16"/>
  <c r="A82" i="16"/>
  <c r="F81" i="16"/>
  <c r="F80" i="16"/>
  <c r="F79" i="16"/>
  <c r="F78" i="16"/>
  <c r="F77" i="16"/>
  <c r="B77" i="16"/>
  <c r="A77" i="16"/>
  <c r="F76" i="16"/>
  <c r="F75" i="16"/>
  <c r="B75" i="16"/>
  <c r="A75" i="16"/>
  <c r="F74" i="16"/>
  <c r="F73" i="16"/>
  <c r="F71" i="16"/>
  <c r="B71" i="16"/>
  <c r="A71" i="16"/>
  <c r="F70" i="16"/>
  <c r="F69" i="16"/>
  <c r="B69" i="16"/>
  <c r="A69" i="16"/>
  <c r="F68" i="16"/>
  <c r="B68" i="16"/>
  <c r="A68" i="16"/>
  <c r="F67" i="16"/>
  <c r="A67" i="16"/>
  <c r="F66" i="16"/>
  <c r="B66" i="16"/>
  <c r="A66" i="16"/>
  <c r="F65" i="16"/>
  <c r="B65" i="16"/>
  <c r="A65" i="16"/>
  <c r="F64" i="16"/>
  <c r="B64" i="16"/>
  <c r="A64" i="16"/>
  <c r="F63" i="16"/>
  <c r="B63" i="16"/>
  <c r="A63" i="16"/>
  <c r="F62" i="16"/>
  <c r="A61" i="16"/>
  <c r="A60" i="16"/>
  <c r="A58" i="16"/>
  <c r="Q55" i="16"/>
  <c r="P55" i="16"/>
  <c r="O55" i="16"/>
  <c r="N55" i="16"/>
  <c r="M55" i="16"/>
  <c r="L55" i="16"/>
  <c r="K55" i="16"/>
  <c r="I55" i="16"/>
  <c r="E55" i="16"/>
  <c r="A55" i="16"/>
  <c r="A53" i="16"/>
  <c r="B52" i="16"/>
  <c r="A52" i="16"/>
  <c r="A49" i="16"/>
  <c r="Q47" i="16"/>
  <c r="P47" i="16"/>
  <c r="O47" i="16"/>
  <c r="N47" i="16"/>
  <c r="M47" i="16"/>
  <c r="L47" i="16"/>
  <c r="K47" i="16"/>
  <c r="I47" i="16"/>
  <c r="E47" i="16"/>
  <c r="A47" i="16"/>
  <c r="A45" i="16"/>
  <c r="A44" i="16"/>
  <c r="Q42" i="16"/>
  <c r="P42" i="16"/>
  <c r="O42" i="16"/>
  <c r="N42" i="16"/>
  <c r="M42" i="16"/>
  <c r="L42" i="16"/>
  <c r="K42" i="16"/>
  <c r="I42" i="16"/>
  <c r="E42" i="16"/>
  <c r="C42" i="16"/>
  <c r="C58" i="16" s="1"/>
  <c r="A42" i="16"/>
  <c r="F40" i="16"/>
  <c r="A40" i="16"/>
  <c r="F39" i="16"/>
  <c r="F38" i="16"/>
  <c r="B38" i="16"/>
  <c r="A38" i="16"/>
  <c r="F37" i="16"/>
  <c r="F36" i="16"/>
  <c r="B36" i="16"/>
  <c r="A36" i="16"/>
  <c r="F35" i="16"/>
  <c r="F33" i="16"/>
  <c r="F32" i="16"/>
  <c r="B32" i="16"/>
  <c r="A32" i="16"/>
  <c r="F30" i="16"/>
  <c r="B30" i="16"/>
  <c r="A30" i="16"/>
  <c r="F29" i="16"/>
  <c r="F28" i="16"/>
  <c r="A28" i="16"/>
  <c r="F27" i="16"/>
  <c r="B27" i="16"/>
  <c r="A27" i="16"/>
  <c r="F26" i="16"/>
  <c r="F25" i="16"/>
  <c r="A25" i="16"/>
  <c r="F24" i="16"/>
  <c r="F23" i="16"/>
  <c r="F22" i="16"/>
  <c r="F21" i="16"/>
  <c r="B21" i="16"/>
  <c r="A21" i="16"/>
  <c r="F20" i="16"/>
  <c r="F19" i="16"/>
  <c r="A19" i="16"/>
  <c r="F18" i="16"/>
  <c r="F17" i="16"/>
  <c r="B17" i="16"/>
  <c r="A17" i="16"/>
  <c r="F16" i="16"/>
  <c r="B16" i="16"/>
  <c r="A16" i="16"/>
  <c r="F15" i="16"/>
  <c r="B15" i="16"/>
  <c r="A15" i="16"/>
  <c r="F14" i="16"/>
  <c r="F13" i="16"/>
  <c r="B13" i="16"/>
  <c r="A13" i="16"/>
  <c r="F12" i="16"/>
  <c r="A12" i="16"/>
  <c r="F11" i="16"/>
  <c r="B11" i="16"/>
  <c r="A11" i="16"/>
  <c r="F10" i="16"/>
  <c r="B10" i="16"/>
  <c r="A10" i="16"/>
  <c r="F9" i="16"/>
  <c r="F8" i="16"/>
  <c r="B8" i="16"/>
  <c r="A8" i="16"/>
  <c r="A7" i="16"/>
  <c r="A6" i="16"/>
  <c r="C41" i="14"/>
  <c r="C56" i="14" s="1"/>
  <c r="C88" i="14"/>
  <c r="C121" i="14"/>
  <c r="C129" i="14"/>
  <c r="E121" i="14"/>
  <c r="F121" i="14" s="1"/>
  <c r="F115" i="14"/>
  <c r="F78" i="14"/>
  <c r="F72" i="14"/>
  <c r="F39" i="14"/>
  <c r="F36" i="14"/>
  <c r="F38" i="14"/>
  <c r="F31" i="14"/>
  <c r="F32" i="14"/>
  <c r="F22" i="14"/>
  <c r="F23" i="14"/>
  <c r="F24" i="14"/>
  <c r="F8" i="14"/>
  <c r="D129" i="14"/>
  <c r="D121" i="14"/>
  <c r="D88" i="14"/>
  <c r="D132" i="14" s="1"/>
  <c r="D53" i="14"/>
  <c r="D46" i="14"/>
  <c r="D41" i="14"/>
  <c r="D56" i="14" s="1"/>
  <c r="H129" i="14"/>
  <c r="H121" i="14"/>
  <c r="H88" i="14"/>
  <c r="H53" i="14"/>
  <c r="H46" i="14"/>
  <c r="H41" i="14"/>
  <c r="A136" i="14"/>
  <c r="A132" i="14"/>
  <c r="N129" i="14"/>
  <c r="M129" i="14"/>
  <c r="L129" i="14"/>
  <c r="K129" i="14"/>
  <c r="J129" i="14"/>
  <c r="I129" i="14"/>
  <c r="E129" i="14"/>
  <c r="F129" i="14" s="1"/>
  <c r="A129" i="14"/>
  <c r="F127" i="14"/>
  <c r="B127" i="14"/>
  <c r="A127" i="14"/>
  <c r="F126" i="14"/>
  <c r="B126" i="14"/>
  <c r="A126" i="14"/>
  <c r="F125" i="14"/>
  <c r="A124" i="14"/>
  <c r="N121" i="14"/>
  <c r="M121" i="14"/>
  <c r="L121" i="14"/>
  <c r="K121" i="14"/>
  <c r="J121" i="14"/>
  <c r="I121" i="14"/>
  <c r="A121" i="14"/>
  <c r="F119" i="14"/>
  <c r="B119" i="14"/>
  <c r="A119" i="14"/>
  <c r="F118" i="14"/>
  <c r="B118" i="14"/>
  <c r="A118" i="14"/>
  <c r="F117" i="14"/>
  <c r="B117" i="14"/>
  <c r="A117" i="14"/>
  <c r="F114" i="14"/>
  <c r="B114" i="14"/>
  <c r="A114" i="14"/>
  <c r="F113" i="14"/>
  <c r="B113" i="14"/>
  <c r="A113" i="14"/>
  <c r="F112" i="14"/>
  <c r="B112" i="14"/>
  <c r="A112" i="14"/>
  <c r="F111" i="14"/>
  <c r="F110" i="14"/>
  <c r="A110" i="14"/>
  <c r="F109" i="14"/>
  <c r="F108" i="14"/>
  <c r="F107" i="14"/>
  <c r="B107" i="14"/>
  <c r="A107" i="14"/>
  <c r="F106" i="14"/>
  <c r="A106" i="14"/>
  <c r="F105" i="14"/>
  <c r="B105" i="14"/>
  <c r="A105" i="14"/>
  <c r="F104" i="14"/>
  <c r="F103" i="14"/>
  <c r="B103" i="14"/>
  <c r="A103" i="14"/>
  <c r="F102" i="14"/>
  <c r="B102" i="14"/>
  <c r="A102" i="14"/>
  <c r="F101" i="14"/>
  <c r="F100" i="14"/>
  <c r="B100" i="14"/>
  <c r="A100" i="14"/>
  <c r="F99" i="14"/>
  <c r="F98" i="14"/>
  <c r="B98" i="14"/>
  <c r="A98" i="14"/>
  <c r="F97" i="14"/>
  <c r="B97" i="14"/>
  <c r="A97" i="14"/>
  <c r="F96" i="14"/>
  <c r="B96" i="14"/>
  <c r="A96" i="14"/>
  <c r="F95" i="14"/>
  <c r="A93" i="14"/>
  <c r="A91" i="14"/>
  <c r="N88" i="14"/>
  <c r="N132" i="14" s="1"/>
  <c r="M88" i="14"/>
  <c r="L88" i="14"/>
  <c r="L132" i="14" s="1"/>
  <c r="K88" i="14"/>
  <c r="J88" i="14"/>
  <c r="J132" i="14" s="1"/>
  <c r="I88" i="14"/>
  <c r="E88" i="14"/>
  <c r="A88" i="14"/>
  <c r="B86" i="14"/>
  <c r="A86" i="14"/>
  <c r="F85" i="14"/>
  <c r="B85" i="14"/>
  <c r="A85" i="14"/>
  <c r="F84" i="14"/>
  <c r="F83" i="14"/>
  <c r="B83" i="14"/>
  <c r="A83" i="14"/>
  <c r="F82" i="14"/>
  <c r="F81" i="14"/>
  <c r="F80" i="14"/>
  <c r="A80" i="14"/>
  <c r="F79" i="14"/>
  <c r="F77" i="14"/>
  <c r="F76" i="14"/>
  <c r="F75" i="14"/>
  <c r="B75" i="14"/>
  <c r="A75" i="14"/>
  <c r="F74" i="14"/>
  <c r="F73" i="14"/>
  <c r="B73" i="14"/>
  <c r="A73" i="14"/>
  <c r="F71" i="14"/>
  <c r="F69" i="14"/>
  <c r="B69" i="14"/>
  <c r="A69" i="14"/>
  <c r="F68" i="14"/>
  <c r="F67" i="14"/>
  <c r="B67" i="14"/>
  <c r="A67" i="14"/>
  <c r="F66" i="14"/>
  <c r="B66" i="14"/>
  <c r="A66" i="14"/>
  <c r="F65" i="14"/>
  <c r="A65" i="14"/>
  <c r="F64" i="14"/>
  <c r="B64" i="14"/>
  <c r="A64" i="14"/>
  <c r="F63" i="14"/>
  <c r="B63" i="14"/>
  <c r="A63" i="14"/>
  <c r="F62" i="14"/>
  <c r="B62" i="14"/>
  <c r="A62" i="14"/>
  <c r="F61" i="14"/>
  <c r="B61" i="14"/>
  <c r="A61" i="14"/>
  <c r="F60" i="14"/>
  <c r="A59" i="14"/>
  <c r="A58" i="14"/>
  <c r="A56" i="14"/>
  <c r="N53" i="14"/>
  <c r="M53" i="14"/>
  <c r="L53" i="14"/>
  <c r="K53" i="14"/>
  <c r="J53" i="14"/>
  <c r="I53" i="14"/>
  <c r="E53" i="14"/>
  <c r="A53" i="14"/>
  <c r="A51" i="14"/>
  <c r="B50" i="14"/>
  <c r="A50" i="14"/>
  <c r="A48" i="14"/>
  <c r="N46" i="14"/>
  <c r="M46" i="14"/>
  <c r="L46" i="14"/>
  <c r="K46" i="14"/>
  <c r="J46" i="14"/>
  <c r="I46" i="14"/>
  <c r="E46" i="14"/>
  <c r="A46" i="14"/>
  <c r="A44" i="14"/>
  <c r="A43" i="14"/>
  <c r="N41" i="14"/>
  <c r="M41" i="14"/>
  <c r="M56" i="14" s="1"/>
  <c r="L41" i="14"/>
  <c r="K41" i="14"/>
  <c r="K56" i="14" s="1"/>
  <c r="J41" i="14"/>
  <c r="I41" i="14"/>
  <c r="I56" i="14" s="1"/>
  <c r="E41" i="14"/>
  <c r="F41" i="14" s="1"/>
  <c r="A41" i="14"/>
  <c r="A39" i="14"/>
  <c r="F37" i="14"/>
  <c r="B37" i="14"/>
  <c r="A37" i="14"/>
  <c r="F35" i="14"/>
  <c r="B35" i="14"/>
  <c r="A35" i="14"/>
  <c r="F34" i="14"/>
  <c r="B31" i="14"/>
  <c r="A31" i="14"/>
  <c r="F30" i="14"/>
  <c r="B30" i="14"/>
  <c r="A30" i="14"/>
  <c r="F29" i="14"/>
  <c r="F28" i="14"/>
  <c r="A28" i="14"/>
  <c r="F27" i="14"/>
  <c r="B27" i="14"/>
  <c r="A27" i="14"/>
  <c r="F26" i="14"/>
  <c r="F25" i="14"/>
  <c r="A25" i="14"/>
  <c r="F21" i="14"/>
  <c r="B21" i="14"/>
  <c r="A21" i="14"/>
  <c r="F20" i="14"/>
  <c r="F19" i="14"/>
  <c r="A19" i="14"/>
  <c r="F18" i="14"/>
  <c r="F17" i="14"/>
  <c r="B17" i="14"/>
  <c r="A17" i="14"/>
  <c r="F16" i="14"/>
  <c r="B16" i="14"/>
  <c r="A16" i="14"/>
  <c r="F15" i="14"/>
  <c r="B15" i="14"/>
  <c r="A15" i="14"/>
  <c r="F14" i="14"/>
  <c r="F13" i="14"/>
  <c r="B13" i="14"/>
  <c r="A13" i="14"/>
  <c r="F12" i="14"/>
  <c r="B12" i="14"/>
  <c r="A12" i="14"/>
  <c r="F11" i="14"/>
  <c r="B11" i="14"/>
  <c r="A11" i="14"/>
  <c r="F10" i="14"/>
  <c r="B10" i="14"/>
  <c r="A10" i="14"/>
  <c r="B8" i="14"/>
  <c r="A8" i="14"/>
  <c r="A7" i="14"/>
  <c r="A6" i="14"/>
  <c r="O139" i="16" l="1"/>
  <c r="Q139" i="16"/>
  <c r="O58" i="16"/>
  <c r="O143" i="16" s="1"/>
  <c r="N139" i="16"/>
  <c r="K58" i="16"/>
  <c r="K93" i="16" s="1"/>
  <c r="I139" i="16"/>
  <c r="E139" i="16"/>
  <c r="P139" i="16"/>
  <c r="P143" i="16" s="1"/>
  <c r="L58" i="16"/>
  <c r="Q58" i="16"/>
  <c r="Q143" i="16" s="1"/>
  <c r="N58" i="16"/>
  <c r="L139" i="16"/>
  <c r="P58" i="16"/>
  <c r="F42" i="16"/>
  <c r="I58" i="16"/>
  <c r="I143" i="16" s="1"/>
  <c r="K139" i="16"/>
  <c r="K143" i="16" s="1"/>
  <c r="C139" i="16"/>
  <c r="C143" i="16" s="1"/>
  <c r="M58" i="16"/>
  <c r="M139" i="16"/>
  <c r="N143" i="16"/>
  <c r="N93" i="16"/>
  <c r="P93" i="16"/>
  <c r="C93" i="16"/>
  <c r="L93" i="16"/>
  <c r="E58" i="16"/>
  <c r="O93" i="16"/>
  <c r="C132" i="14"/>
  <c r="C136" i="14" s="1"/>
  <c r="C91" i="14"/>
  <c r="E132" i="14"/>
  <c r="D136" i="14"/>
  <c r="D91" i="14"/>
  <c r="I132" i="14"/>
  <c r="M132" i="14"/>
  <c r="J56" i="14"/>
  <c r="J91" i="14" s="1"/>
  <c r="N56" i="14"/>
  <c r="H132" i="14"/>
  <c r="H56" i="14"/>
  <c r="H136" i="14" s="1"/>
  <c r="E56" i="14"/>
  <c r="E91" i="14" s="1"/>
  <c r="L56" i="14"/>
  <c r="K132" i="14"/>
  <c r="K136" i="14" s="1"/>
  <c r="L91" i="14"/>
  <c r="L136" i="14"/>
  <c r="I136" i="14"/>
  <c r="I91" i="14"/>
  <c r="M136" i="14"/>
  <c r="M91" i="14"/>
  <c r="J136" i="14"/>
  <c r="N136" i="14"/>
  <c r="N91" i="14"/>
  <c r="K91" i="14"/>
  <c r="M143" i="16" l="1"/>
  <c r="L143" i="16"/>
  <c r="I93" i="16"/>
  <c r="Q93" i="16"/>
  <c r="M93" i="16"/>
  <c r="E143" i="16"/>
  <c r="F143" i="16" s="1"/>
  <c r="E93" i="16"/>
  <c r="F58" i="16"/>
  <c r="E136" i="14"/>
  <c r="F136" i="14" s="1"/>
  <c r="H91" i="14"/>
  <c r="D123" i="13"/>
  <c r="D115" i="13"/>
  <c r="D83" i="13"/>
  <c r="D126" i="13" s="1"/>
  <c r="D50" i="13"/>
  <c r="D43" i="13"/>
  <c r="D38" i="13"/>
  <c r="D53" i="13" s="1"/>
  <c r="H123" i="13"/>
  <c r="H115" i="13"/>
  <c r="H83" i="13"/>
  <c r="H50" i="13"/>
  <c r="H43" i="13"/>
  <c r="H38" i="13"/>
  <c r="A130" i="13"/>
  <c r="A126" i="13"/>
  <c r="M123" i="13"/>
  <c r="L123" i="13"/>
  <c r="K123" i="13"/>
  <c r="J123" i="13"/>
  <c r="I123" i="13"/>
  <c r="E123" i="13"/>
  <c r="C123" i="13"/>
  <c r="A123" i="13"/>
  <c r="F121" i="13"/>
  <c r="B121" i="13"/>
  <c r="A121" i="13"/>
  <c r="F120" i="13"/>
  <c r="B120" i="13"/>
  <c r="A120" i="13"/>
  <c r="F119" i="13"/>
  <c r="A118" i="13"/>
  <c r="M115" i="13"/>
  <c r="L115" i="13"/>
  <c r="K115" i="13"/>
  <c r="J115" i="13"/>
  <c r="I115" i="13"/>
  <c r="E115" i="13"/>
  <c r="C115" i="13"/>
  <c r="A115" i="13"/>
  <c r="F113" i="13"/>
  <c r="B113" i="13"/>
  <c r="A113" i="13"/>
  <c r="F112" i="13"/>
  <c r="B112" i="13"/>
  <c r="A112" i="13"/>
  <c r="F111" i="13"/>
  <c r="B111" i="13"/>
  <c r="A111" i="13"/>
  <c r="F109" i="13"/>
  <c r="B109" i="13"/>
  <c r="A109" i="13"/>
  <c r="F108" i="13"/>
  <c r="B108" i="13"/>
  <c r="A108" i="13"/>
  <c r="F107" i="13"/>
  <c r="B107" i="13"/>
  <c r="A107" i="13"/>
  <c r="F106" i="13"/>
  <c r="F105" i="13"/>
  <c r="A105" i="13"/>
  <c r="F104" i="13"/>
  <c r="F103" i="13"/>
  <c r="F102" i="13"/>
  <c r="B102" i="13"/>
  <c r="A102" i="13"/>
  <c r="F101" i="13"/>
  <c r="A101" i="13"/>
  <c r="F100" i="13"/>
  <c r="B100" i="13"/>
  <c r="A100" i="13"/>
  <c r="F99" i="13"/>
  <c r="F98" i="13"/>
  <c r="B98" i="13"/>
  <c r="A98" i="13"/>
  <c r="F97" i="13"/>
  <c r="B97" i="13"/>
  <c r="A97" i="13"/>
  <c r="F96" i="13"/>
  <c r="F95" i="13"/>
  <c r="B95" i="13"/>
  <c r="A95" i="13"/>
  <c r="F94" i="13"/>
  <c r="F93" i="13"/>
  <c r="B93" i="13"/>
  <c r="A93" i="13"/>
  <c r="F92" i="13"/>
  <c r="B92" i="13"/>
  <c r="A92" i="13"/>
  <c r="F91" i="13"/>
  <c r="B91" i="13"/>
  <c r="A91" i="13"/>
  <c r="F90" i="13"/>
  <c r="A88" i="13"/>
  <c r="A86" i="13"/>
  <c r="M83" i="13"/>
  <c r="L83" i="13"/>
  <c r="K83" i="13"/>
  <c r="J83" i="13"/>
  <c r="I83" i="13"/>
  <c r="E83" i="13"/>
  <c r="C83" i="13"/>
  <c r="A83" i="13"/>
  <c r="B81" i="13"/>
  <c r="A81" i="13"/>
  <c r="F80" i="13"/>
  <c r="B80" i="13"/>
  <c r="A80" i="13"/>
  <c r="F79" i="13"/>
  <c r="F78" i="13"/>
  <c r="B78" i="13"/>
  <c r="A78" i="13"/>
  <c r="F77" i="13"/>
  <c r="F76" i="13"/>
  <c r="F75" i="13"/>
  <c r="A75" i="13"/>
  <c r="F74" i="13"/>
  <c r="F73" i="13"/>
  <c r="F72" i="13"/>
  <c r="F71" i="13"/>
  <c r="B71" i="13"/>
  <c r="A71" i="13"/>
  <c r="F70" i="13"/>
  <c r="F69" i="13"/>
  <c r="B69" i="13"/>
  <c r="A69" i="13"/>
  <c r="F68" i="13"/>
  <c r="F66" i="13"/>
  <c r="B66" i="13"/>
  <c r="A66" i="13"/>
  <c r="F65" i="13"/>
  <c r="F64" i="13"/>
  <c r="B64" i="13"/>
  <c r="A64" i="13"/>
  <c r="F63" i="13"/>
  <c r="B63" i="13"/>
  <c r="A63" i="13"/>
  <c r="F62" i="13"/>
  <c r="A62" i="13"/>
  <c r="F61" i="13"/>
  <c r="B61" i="13"/>
  <c r="A61" i="13"/>
  <c r="F60" i="13"/>
  <c r="B60" i="13"/>
  <c r="A60" i="13"/>
  <c r="F59" i="13"/>
  <c r="B59" i="13"/>
  <c r="A59" i="13"/>
  <c r="F58" i="13"/>
  <c r="B58" i="13"/>
  <c r="A58" i="13"/>
  <c r="F57" i="13"/>
  <c r="A56" i="13"/>
  <c r="A55" i="13"/>
  <c r="A53" i="13"/>
  <c r="M50" i="13"/>
  <c r="L50" i="13"/>
  <c r="K50" i="13"/>
  <c r="J50" i="13"/>
  <c r="I50" i="13"/>
  <c r="E50" i="13"/>
  <c r="C50" i="13"/>
  <c r="A50" i="13"/>
  <c r="A48" i="13"/>
  <c r="B47" i="13"/>
  <c r="A47" i="13"/>
  <c r="A45" i="13"/>
  <c r="M43" i="13"/>
  <c r="L43" i="13"/>
  <c r="K43" i="13"/>
  <c r="J43" i="13"/>
  <c r="I43" i="13"/>
  <c r="E43" i="13"/>
  <c r="C43" i="13"/>
  <c r="A43" i="13"/>
  <c r="A41" i="13"/>
  <c r="A40" i="13"/>
  <c r="M38" i="13"/>
  <c r="L38" i="13"/>
  <c r="K38" i="13"/>
  <c r="J38" i="13"/>
  <c r="I38" i="13"/>
  <c r="E38" i="13"/>
  <c r="C38" i="13"/>
  <c r="A38" i="13"/>
  <c r="F36" i="13"/>
  <c r="A36" i="13"/>
  <c r="F35" i="13"/>
  <c r="F34" i="13"/>
  <c r="B34" i="13"/>
  <c r="A34" i="13"/>
  <c r="F33" i="13"/>
  <c r="B33" i="13"/>
  <c r="A33" i="13"/>
  <c r="F32" i="13"/>
  <c r="F29" i="13"/>
  <c r="B29" i="13"/>
  <c r="A29" i="13"/>
  <c r="F28" i="13"/>
  <c r="B28" i="13"/>
  <c r="A28" i="13"/>
  <c r="F27" i="13"/>
  <c r="F26" i="13"/>
  <c r="A26" i="13"/>
  <c r="F25" i="13"/>
  <c r="B25" i="13"/>
  <c r="A25" i="13"/>
  <c r="F24" i="13"/>
  <c r="F23" i="13"/>
  <c r="A23" i="13"/>
  <c r="F21" i="13"/>
  <c r="F20" i="13"/>
  <c r="B20" i="13"/>
  <c r="A20" i="13"/>
  <c r="F19" i="13"/>
  <c r="F18" i="13"/>
  <c r="A18" i="13"/>
  <c r="F17" i="13"/>
  <c r="F16" i="13"/>
  <c r="B16" i="13"/>
  <c r="A16" i="13"/>
  <c r="F15" i="13"/>
  <c r="B15" i="13"/>
  <c r="A15" i="13"/>
  <c r="F14" i="13"/>
  <c r="B14" i="13"/>
  <c r="A14" i="13"/>
  <c r="F13" i="13"/>
  <c r="F12" i="13"/>
  <c r="B12" i="13"/>
  <c r="A12" i="13"/>
  <c r="F11" i="13"/>
  <c r="B11" i="13"/>
  <c r="A11" i="13"/>
  <c r="F10" i="13"/>
  <c r="B10" i="13"/>
  <c r="A10" i="13"/>
  <c r="F9" i="13"/>
  <c r="B9" i="13"/>
  <c r="A9" i="13"/>
  <c r="F8" i="13"/>
  <c r="B8" i="13"/>
  <c r="A8" i="13"/>
  <c r="A7" i="13"/>
  <c r="A6" i="13"/>
  <c r="D130" i="13" l="1"/>
  <c r="D86" i="13"/>
  <c r="J53" i="13"/>
  <c r="E53" i="13"/>
  <c r="E86" i="13" s="1"/>
  <c r="L53" i="13"/>
  <c r="L86" i="13" s="1"/>
  <c r="E126" i="13"/>
  <c r="L126" i="13"/>
  <c r="C53" i="13"/>
  <c r="C86" i="13" s="1"/>
  <c r="K53" i="13"/>
  <c r="K86" i="13" s="1"/>
  <c r="I53" i="13"/>
  <c r="I86" i="13" s="1"/>
  <c r="M53" i="13"/>
  <c r="J126" i="13"/>
  <c r="J130" i="13" s="1"/>
  <c r="I126" i="13"/>
  <c r="C126" i="13"/>
  <c r="K126" i="13"/>
  <c r="H126" i="13"/>
  <c r="M126" i="13"/>
  <c r="H53" i="13"/>
  <c r="H130" i="13" s="1"/>
  <c r="J86" i="13"/>
  <c r="L130" i="13"/>
  <c r="M130" i="13"/>
  <c r="M86" i="13"/>
  <c r="C130" i="13" l="1"/>
  <c r="E130" i="13"/>
  <c r="I130" i="13"/>
  <c r="K130" i="13"/>
  <c r="H86" i="13"/>
  <c r="F119" i="12" l="1"/>
  <c r="F118" i="12"/>
  <c r="F117" i="12"/>
  <c r="E121" i="12"/>
  <c r="H121" i="12"/>
  <c r="E113" i="12"/>
  <c r="H113" i="12"/>
  <c r="F111" i="12"/>
  <c r="F110" i="12"/>
  <c r="F109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D84" i="12"/>
  <c r="E81" i="12"/>
  <c r="H81" i="12"/>
  <c r="E49" i="12"/>
  <c r="E42" i="12"/>
  <c r="E37" i="12"/>
  <c r="H49" i="12"/>
  <c r="I49" i="12"/>
  <c r="H42" i="12"/>
  <c r="H37" i="12"/>
  <c r="F19" i="12"/>
  <c r="F20" i="12"/>
  <c r="F9" i="12"/>
  <c r="F10" i="12"/>
  <c r="F11" i="12"/>
  <c r="F12" i="12"/>
  <c r="F13" i="12"/>
  <c r="F14" i="12"/>
  <c r="F15" i="12"/>
  <c r="F16" i="12"/>
  <c r="F17" i="12"/>
  <c r="F18" i="12"/>
  <c r="F21" i="12"/>
  <c r="F23" i="12"/>
  <c r="F24" i="12"/>
  <c r="F25" i="12"/>
  <c r="F26" i="12"/>
  <c r="F27" i="12"/>
  <c r="F28" i="12"/>
  <c r="F29" i="12"/>
  <c r="F31" i="12"/>
  <c r="F32" i="12"/>
  <c r="F33" i="12"/>
  <c r="F8" i="12"/>
  <c r="F34" i="12"/>
  <c r="F35" i="12"/>
  <c r="A128" i="12"/>
  <c r="A124" i="12"/>
  <c r="L121" i="12"/>
  <c r="K121" i="12"/>
  <c r="J121" i="12"/>
  <c r="I121" i="12"/>
  <c r="C121" i="12"/>
  <c r="A121" i="12"/>
  <c r="B119" i="12"/>
  <c r="A119" i="12"/>
  <c r="B118" i="12"/>
  <c r="A118" i="12"/>
  <c r="A116" i="12"/>
  <c r="L113" i="12"/>
  <c r="K113" i="12"/>
  <c r="J113" i="12"/>
  <c r="I113" i="12"/>
  <c r="C113" i="12"/>
  <c r="A113" i="12"/>
  <c r="B111" i="12"/>
  <c r="A111" i="12"/>
  <c r="B110" i="12"/>
  <c r="A110" i="12"/>
  <c r="B109" i="12"/>
  <c r="A109" i="12"/>
  <c r="B107" i="12"/>
  <c r="A107" i="12"/>
  <c r="B106" i="12"/>
  <c r="A106" i="12"/>
  <c r="B105" i="12"/>
  <c r="A105" i="12"/>
  <c r="A103" i="12"/>
  <c r="B100" i="12"/>
  <c r="A100" i="12"/>
  <c r="A99" i="12"/>
  <c r="B98" i="12"/>
  <c r="A98" i="12"/>
  <c r="B96" i="12"/>
  <c r="A96" i="12"/>
  <c r="B95" i="12"/>
  <c r="A95" i="12"/>
  <c r="B93" i="12"/>
  <c r="A93" i="12"/>
  <c r="B91" i="12"/>
  <c r="A91" i="12"/>
  <c r="B90" i="12"/>
  <c r="A90" i="12"/>
  <c r="B89" i="12"/>
  <c r="A89" i="12"/>
  <c r="A86" i="12"/>
  <c r="A84" i="12"/>
  <c r="L81" i="12"/>
  <c r="K81" i="12"/>
  <c r="J81" i="12"/>
  <c r="I81" i="12"/>
  <c r="C81" i="12"/>
  <c r="A81" i="12"/>
  <c r="B79" i="12"/>
  <c r="A79" i="12"/>
  <c r="B78" i="12"/>
  <c r="A78" i="12"/>
  <c r="B76" i="12"/>
  <c r="A76" i="12"/>
  <c r="A73" i="12"/>
  <c r="B69" i="12"/>
  <c r="A69" i="12"/>
  <c r="B67" i="12"/>
  <c r="A67" i="12"/>
  <c r="B65" i="12"/>
  <c r="A65" i="12"/>
  <c r="B63" i="12"/>
  <c r="A63" i="12"/>
  <c r="B62" i="12"/>
  <c r="A62" i="12"/>
  <c r="A61" i="12"/>
  <c r="B60" i="12"/>
  <c r="A60" i="12"/>
  <c r="B59" i="12"/>
  <c r="A59" i="12"/>
  <c r="B58" i="12"/>
  <c r="A58" i="12"/>
  <c r="B57" i="12"/>
  <c r="A57" i="12"/>
  <c r="A55" i="12"/>
  <c r="A54" i="12"/>
  <c r="A52" i="12"/>
  <c r="L49" i="12"/>
  <c r="K49" i="12"/>
  <c r="J49" i="12"/>
  <c r="C49" i="12"/>
  <c r="A49" i="12"/>
  <c r="A47" i="12"/>
  <c r="B46" i="12"/>
  <c r="A46" i="12"/>
  <c r="A44" i="12"/>
  <c r="L42" i="12"/>
  <c r="K42" i="12"/>
  <c r="J42" i="12"/>
  <c r="I42" i="12"/>
  <c r="C42" i="12"/>
  <c r="A42" i="12"/>
  <c r="A40" i="12"/>
  <c r="A39" i="12"/>
  <c r="L37" i="12"/>
  <c r="K37" i="12"/>
  <c r="J37" i="12"/>
  <c r="I37" i="12"/>
  <c r="C37" i="12"/>
  <c r="A37" i="12"/>
  <c r="A35" i="12"/>
  <c r="B33" i="12"/>
  <c r="A33" i="12"/>
  <c r="B32" i="12"/>
  <c r="A32" i="12"/>
  <c r="B29" i="12"/>
  <c r="A29" i="12"/>
  <c r="B28" i="12"/>
  <c r="A28" i="12"/>
  <c r="A26" i="12"/>
  <c r="B25" i="12"/>
  <c r="A25" i="12"/>
  <c r="A23" i="12"/>
  <c r="B20" i="12"/>
  <c r="A20" i="12"/>
  <c r="A18" i="12"/>
  <c r="B16" i="12"/>
  <c r="A16" i="12"/>
  <c r="B15" i="12"/>
  <c r="A15" i="12"/>
  <c r="B14" i="12"/>
  <c r="A14" i="12"/>
  <c r="B12" i="12"/>
  <c r="A12" i="12"/>
  <c r="B11" i="12"/>
  <c r="A11" i="12"/>
  <c r="B10" i="12"/>
  <c r="A10" i="12"/>
  <c r="B9" i="12"/>
  <c r="A9" i="12"/>
  <c r="B8" i="12"/>
  <c r="A8" i="12"/>
  <c r="A7" i="12"/>
  <c r="A6" i="12"/>
  <c r="H124" i="12" l="1"/>
  <c r="E124" i="12"/>
  <c r="J52" i="12"/>
  <c r="H52" i="12"/>
  <c r="E52" i="12"/>
  <c r="L124" i="12"/>
  <c r="C52" i="12"/>
  <c r="C84" i="12" s="1"/>
  <c r="I124" i="12"/>
  <c r="K52" i="12"/>
  <c r="K84" i="12" s="1"/>
  <c r="I52" i="12"/>
  <c r="I84" i="12" s="1"/>
  <c r="L52" i="12"/>
  <c r="C124" i="12"/>
  <c r="K124" i="12"/>
  <c r="J124" i="12"/>
  <c r="J84" i="12"/>
  <c r="D121" i="11"/>
  <c r="D112" i="11"/>
  <c r="D82" i="11"/>
  <c r="D45" i="11"/>
  <c r="D39" i="11"/>
  <c r="D55" i="11" s="1"/>
  <c r="A128" i="11"/>
  <c r="A124" i="11"/>
  <c r="I121" i="11"/>
  <c r="H121" i="11"/>
  <c r="G121" i="11"/>
  <c r="F121" i="11"/>
  <c r="E121" i="11"/>
  <c r="C121" i="11"/>
  <c r="A121" i="11"/>
  <c r="B119" i="11"/>
  <c r="A119" i="11"/>
  <c r="B118" i="11"/>
  <c r="A118" i="11"/>
  <c r="B116" i="11"/>
  <c r="A116" i="11"/>
  <c r="A115" i="11"/>
  <c r="I112" i="11"/>
  <c r="H112" i="11"/>
  <c r="G112" i="11"/>
  <c r="F112" i="11"/>
  <c r="E112" i="11"/>
  <c r="C112" i="11"/>
  <c r="A112" i="11"/>
  <c r="B109" i="11"/>
  <c r="A109" i="11"/>
  <c r="B108" i="11"/>
  <c r="A108" i="11"/>
  <c r="B107" i="11"/>
  <c r="A107" i="11"/>
  <c r="B106" i="11"/>
  <c r="A106" i="11"/>
  <c r="B105" i="11"/>
  <c r="A105" i="11"/>
  <c r="B104" i="11"/>
  <c r="A104" i="11"/>
  <c r="A102" i="11"/>
  <c r="B99" i="11"/>
  <c r="A99" i="11"/>
  <c r="A98" i="11"/>
  <c r="B97" i="11"/>
  <c r="A97" i="11"/>
  <c r="B95" i="11"/>
  <c r="A95" i="11"/>
  <c r="B94" i="11"/>
  <c r="A94" i="11"/>
  <c r="B92" i="11"/>
  <c r="A92" i="11"/>
  <c r="B90" i="11"/>
  <c r="A90" i="11"/>
  <c r="B89" i="11"/>
  <c r="A89" i="11"/>
  <c r="B88" i="11"/>
  <c r="A88" i="11"/>
  <c r="A87" i="11"/>
  <c r="A85" i="11"/>
  <c r="I82" i="11"/>
  <c r="I124" i="11" s="1"/>
  <c r="H82" i="11"/>
  <c r="G82" i="11"/>
  <c r="F82" i="11"/>
  <c r="E82" i="11"/>
  <c r="E124" i="11" s="1"/>
  <c r="C82" i="11"/>
  <c r="A82" i="11"/>
  <c r="B80" i="11"/>
  <c r="A80" i="11"/>
  <c r="B79" i="11"/>
  <c r="A79" i="11"/>
  <c r="B77" i="11"/>
  <c r="A77" i="11"/>
  <c r="A74" i="11"/>
  <c r="B72" i="11"/>
  <c r="A72" i="11"/>
  <c r="B70" i="11"/>
  <c r="A70" i="11"/>
  <c r="B68" i="11"/>
  <c r="A68" i="11"/>
  <c r="B66" i="11"/>
  <c r="A66" i="11"/>
  <c r="B65" i="11"/>
  <c r="A65" i="11"/>
  <c r="A64" i="11"/>
  <c r="B63" i="11"/>
  <c r="A63" i="11"/>
  <c r="B62" i="11"/>
  <c r="A62" i="11"/>
  <c r="B61" i="11"/>
  <c r="A61" i="11"/>
  <c r="B60" i="11"/>
  <c r="A60" i="11"/>
  <c r="A58" i="11"/>
  <c r="A57" i="11"/>
  <c r="A55" i="11"/>
  <c r="I52" i="11"/>
  <c r="H52" i="11"/>
  <c r="G52" i="11"/>
  <c r="F52" i="11"/>
  <c r="E52" i="11"/>
  <c r="C52" i="11"/>
  <c r="A52" i="11"/>
  <c r="A50" i="11"/>
  <c r="B49" i="11"/>
  <c r="A49" i="11"/>
  <c r="B48" i="11"/>
  <c r="A48" i="11"/>
  <c r="A47" i="11"/>
  <c r="I45" i="11"/>
  <c r="H45" i="11"/>
  <c r="G45" i="11"/>
  <c r="F45" i="11"/>
  <c r="E45" i="11"/>
  <c r="C45" i="11"/>
  <c r="A45" i="11"/>
  <c r="A43" i="11"/>
  <c r="A41" i="11"/>
  <c r="I39" i="11"/>
  <c r="H39" i="11"/>
  <c r="G39" i="11"/>
  <c r="F39" i="11"/>
  <c r="E39" i="11"/>
  <c r="C39" i="11"/>
  <c r="A39" i="11"/>
  <c r="A37" i="11"/>
  <c r="B35" i="11"/>
  <c r="A35" i="11"/>
  <c r="B34" i="11"/>
  <c r="A34" i="11"/>
  <c r="B32" i="11"/>
  <c r="A32" i="11"/>
  <c r="B31" i="11"/>
  <c r="A31" i="11"/>
  <c r="A29" i="11"/>
  <c r="B28" i="11"/>
  <c r="A28" i="11"/>
  <c r="B26" i="11"/>
  <c r="A26" i="11"/>
  <c r="B25" i="11"/>
  <c r="A25" i="11"/>
  <c r="B23" i="11"/>
  <c r="A23" i="11"/>
  <c r="A21" i="11"/>
  <c r="B18" i="11"/>
  <c r="A18" i="11"/>
  <c r="B17" i="11"/>
  <c r="A17" i="11"/>
  <c r="B16" i="11"/>
  <c r="A16" i="11"/>
  <c r="B15" i="11"/>
  <c r="A15" i="11"/>
  <c r="A14" i="11"/>
  <c r="B12" i="11"/>
  <c r="A12" i="11"/>
  <c r="B11" i="11"/>
  <c r="A11" i="11"/>
  <c r="B10" i="11"/>
  <c r="A10" i="11"/>
  <c r="B9" i="11"/>
  <c r="A9" i="11"/>
  <c r="B8" i="11"/>
  <c r="A8" i="11"/>
  <c r="A7" i="11"/>
  <c r="A6" i="11"/>
  <c r="K128" i="12" l="1"/>
  <c r="J128" i="12"/>
  <c r="E84" i="12"/>
  <c r="E128" i="12"/>
  <c r="H84" i="12"/>
  <c r="H128" i="12"/>
  <c r="L128" i="12"/>
  <c r="C128" i="12"/>
  <c r="I128" i="12"/>
  <c r="L84" i="12"/>
  <c r="D124" i="11"/>
  <c r="D128" i="11" s="1"/>
  <c r="G124" i="11"/>
  <c r="F55" i="11"/>
  <c r="F85" i="11" s="1"/>
  <c r="D85" i="11"/>
  <c r="G55" i="11"/>
  <c r="G85" i="11" s="1"/>
  <c r="C124" i="11"/>
  <c r="H124" i="11"/>
  <c r="H55" i="11"/>
  <c r="F124" i="11"/>
  <c r="C55" i="11"/>
  <c r="C128" i="11" s="1"/>
  <c r="E55" i="11"/>
  <c r="E85" i="11" s="1"/>
  <c r="I55" i="11"/>
  <c r="I128" i="11" s="1"/>
  <c r="G128" i="11"/>
  <c r="E128" i="11"/>
  <c r="I85" i="11"/>
  <c r="F128" i="11"/>
  <c r="C112" i="9"/>
  <c r="C121" i="9"/>
  <c r="C82" i="9"/>
  <c r="C52" i="9"/>
  <c r="C45" i="9"/>
  <c r="C39" i="9"/>
  <c r="A128" i="10"/>
  <c r="A124" i="10"/>
  <c r="I121" i="10"/>
  <c r="H121" i="10"/>
  <c r="G121" i="10"/>
  <c r="F121" i="10"/>
  <c r="E121" i="10"/>
  <c r="D121" i="10"/>
  <c r="C121" i="10"/>
  <c r="A121" i="10"/>
  <c r="B119" i="10"/>
  <c r="A119" i="10"/>
  <c r="B118" i="10"/>
  <c r="A118" i="10"/>
  <c r="B116" i="10"/>
  <c r="A116" i="10"/>
  <c r="A115" i="10"/>
  <c r="I112" i="10"/>
  <c r="H112" i="10"/>
  <c r="G112" i="10"/>
  <c r="F112" i="10"/>
  <c r="E112" i="10"/>
  <c r="D112" i="10"/>
  <c r="C112" i="10"/>
  <c r="A112" i="10"/>
  <c r="B110" i="10"/>
  <c r="A110" i="10"/>
  <c r="B109" i="10"/>
  <c r="A109" i="10"/>
  <c r="B108" i="10"/>
  <c r="A108" i="10"/>
  <c r="B107" i="10"/>
  <c r="A107" i="10"/>
  <c r="B106" i="10"/>
  <c r="A106" i="10"/>
  <c r="B105" i="10"/>
  <c r="A105" i="10"/>
  <c r="B104" i="10"/>
  <c r="A104" i="10"/>
  <c r="A102" i="10"/>
  <c r="B99" i="10"/>
  <c r="A99" i="10"/>
  <c r="A98" i="10"/>
  <c r="B97" i="10"/>
  <c r="A97" i="10"/>
  <c r="B95" i="10"/>
  <c r="A95" i="10"/>
  <c r="B94" i="10"/>
  <c r="A94" i="10"/>
  <c r="B92" i="10"/>
  <c r="A92" i="10"/>
  <c r="B90" i="10"/>
  <c r="A90" i="10"/>
  <c r="B89" i="10"/>
  <c r="A89" i="10"/>
  <c r="B88" i="10"/>
  <c r="A88" i="10"/>
  <c r="A87" i="10"/>
  <c r="A85" i="10"/>
  <c r="I82" i="10"/>
  <c r="H82" i="10"/>
  <c r="G82" i="10"/>
  <c r="F82" i="10"/>
  <c r="E82" i="10"/>
  <c r="D82" i="10"/>
  <c r="C82" i="10"/>
  <c r="A82" i="10"/>
  <c r="B80" i="10"/>
  <c r="A80" i="10"/>
  <c r="B79" i="10"/>
  <c r="A79" i="10"/>
  <c r="B77" i="10"/>
  <c r="A77" i="10"/>
  <c r="A74" i="10"/>
  <c r="B72" i="10"/>
  <c r="A72" i="10"/>
  <c r="B70" i="10"/>
  <c r="A70" i="10"/>
  <c r="B68" i="10"/>
  <c r="A68" i="10"/>
  <c r="B66" i="10"/>
  <c r="A66" i="10"/>
  <c r="B65" i="10"/>
  <c r="A65" i="10"/>
  <c r="B64" i="10"/>
  <c r="A64" i="10"/>
  <c r="B63" i="10"/>
  <c r="A63" i="10"/>
  <c r="B62" i="10"/>
  <c r="A62" i="10"/>
  <c r="B61" i="10"/>
  <c r="A61" i="10"/>
  <c r="B60" i="10"/>
  <c r="A60" i="10"/>
  <c r="A58" i="10"/>
  <c r="A57" i="10"/>
  <c r="A55" i="10"/>
  <c r="I52" i="10"/>
  <c r="H52" i="10"/>
  <c r="G52" i="10"/>
  <c r="F52" i="10"/>
  <c r="E52" i="10"/>
  <c r="D52" i="10"/>
  <c r="C52" i="10"/>
  <c r="A52" i="10"/>
  <c r="A50" i="10"/>
  <c r="B49" i="10"/>
  <c r="A49" i="10"/>
  <c r="B48" i="10"/>
  <c r="A48" i="10"/>
  <c r="A47" i="10"/>
  <c r="I45" i="10"/>
  <c r="H45" i="10"/>
  <c r="G45" i="10"/>
  <c r="F45" i="10"/>
  <c r="E45" i="10"/>
  <c r="D45" i="10"/>
  <c r="C45" i="10"/>
  <c r="A45" i="10"/>
  <c r="A43" i="10"/>
  <c r="A41" i="10"/>
  <c r="I39" i="10"/>
  <c r="H39" i="10"/>
  <c r="G39" i="10"/>
  <c r="F39" i="10"/>
  <c r="E39" i="10"/>
  <c r="D39" i="10"/>
  <c r="C39" i="10"/>
  <c r="A39" i="10"/>
  <c r="A37" i="10"/>
  <c r="B35" i="10"/>
  <c r="A35" i="10"/>
  <c r="B34" i="10"/>
  <c r="A34" i="10"/>
  <c r="B32" i="10"/>
  <c r="A32" i="10"/>
  <c r="B31" i="10"/>
  <c r="A31" i="10"/>
  <c r="A29" i="10"/>
  <c r="B28" i="10"/>
  <c r="A28" i="10"/>
  <c r="B26" i="10"/>
  <c r="A26" i="10"/>
  <c r="B25" i="10"/>
  <c r="A25" i="10"/>
  <c r="B23" i="10"/>
  <c r="A23" i="10"/>
  <c r="A21" i="10"/>
  <c r="B18" i="10"/>
  <c r="A18" i="10"/>
  <c r="B17" i="10"/>
  <c r="A17" i="10"/>
  <c r="B16" i="10"/>
  <c r="A16" i="10"/>
  <c r="B15" i="10"/>
  <c r="A15" i="10"/>
  <c r="A14" i="10"/>
  <c r="B12" i="10"/>
  <c r="A12" i="10"/>
  <c r="B11" i="10"/>
  <c r="A11" i="10"/>
  <c r="B10" i="10"/>
  <c r="A10" i="10"/>
  <c r="B9" i="10"/>
  <c r="A9" i="10"/>
  <c r="B8" i="10"/>
  <c r="A8" i="10"/>
  <c r="A7" i="10"/>
  <c r="A6" i="10"/>
  <c r="F55" i="10" l="1"/>
  <c r="D124" i="10"/>
  <c r="H124" i="10"/>
  <c r="C55" i="10"/>
  <c r="C128" i="10" s="1"/>
  <c r="G55" i="10"/>
  <c r="E124" i="10"/>
  <c r="I124" i="10"/>
  <c r="C55" i="9"/>
  <c r="H128" i="11"/>
  <c r="C124" i="9"/>
  <c r="H85" i="11"/>
  <c r="D55" i="10"/>
  <c r="D85" i="10" s="1"/>
  <c r="H55" i="10"/>
  <c r="F124" i="10"/>
  <c r="F128" i="10" s="1"/>
  <c r="E55" i="10"/>
  <c r="E128" i="10" s="1"/>
  <c r="I55" i="10"/>
  <c r="I85" i="10" s="1"/>
  <c r="C124" i="10"/>
  <c r="G124" i="10"/>
  <c r="G128" i="10" s="1"/>
  <c r="G85" i="10"/>
  <c r="H85" i="10"/>
  <c r="F85" i="10"/>
  <c r="D39" i="9"/>
  <c r="D121" i="9"/>
  <c r="E121" i="9"/>
  <c r="E112" i="9"/>
  <c r="E82" i="9"/>
  <c r="E45" i="9"/>
  <c r="E52" i="9"/>
  <c r="E39" i="9"/>
  <c r="D45" i="9"/>
  <c r="D52" i="9"/>
  <c r="D82" i="9"/>
  <c r="D112" i="9"/>
  <c r="A128" i="9"/>
  <c r="A124" i="9"/>
  <c r="I121" i="9"/>
  <c r="H121" i="9"/>
  <c r="G121" i="9"/>
  <c r="F121" i="9"/>
  <c r="A121" i="9"/>
  <c r="B119" i="9"/>
  <c r="A119" i="9"/>
  <c r="B118" i="9"/>
  <c r="A118" i="9"/>
  <c r="B116" i="9"/>
  <c r="A116" i="9"/>
  <c r="A115" i="9"/>
  <c r="I112" i="9"/>
  <c r="H112" i="9"/>
  <c r="G112" i="9"/>
  <c r="F112" i="9"/>
  <c r="A112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A102" i="9"/>
  <c r="B99" i="9"/>
  <c r="A99" i="9"/>
  <c r="A98" i="9"/>
  <c r="B97" i="9"/>
  <c r="A97" i="9"/>
  <c r="B95" i="9"/>
  <c r="A95" i="9"/>
  <c r="B94" i="9"/>
  <c r="A94" i="9"/>
  <c r="B92" i="9"/>
  <c r="A92" i="9"/>
  <c r="B90" i="9"/>
  <c r="A90" i="9"/>
  <c r="B89" i="9"/>
  <c r="A89" i="9"/>
  <c r="B88" i="9"/>
  <c r="A88" i="9"/>
  <c r="A87" i="9"/>
  <c r="A85" i="9"/>
  <c r="I82" i="9"/>
  <c r="H82" i="9"/>
  <c r="G82" i="9"/>
  <c r="F82" i="9"/>
  <c r="A82" i="9"/>
  <c r="B80" i="9"/>
  <c r="A80" i="9"/>
  <c r="B79" i="9"/>
  <c r="A79" i="9"/>
  <c r="B77" i="9"/>
  <c r="A77" i="9"/>
  <c r="A74" i="9"/>
  <c r="B72" i="9"/>
  <c r="A72" i="9"/>
  <c r="B70" i="9"/>
  <c r="A70" i="9"/>
  <c r="B68" i="9"/>
  <c r="A68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A58" i="9"/>
  <c r="A57" i="9"/>
  <c r="A55" i="9"/>
  <c r="I52" i="9"/>
  <c r="H52" i="9"/>
  <c r="G52" i="9"/>
  <c r="F52" i="9"/>
  <c r="A52" i="9"/>
  <c r="A50" i="9"/>
  <c r="B49" i="9"/>
  <c r="A49" i="9"/>
  <c r="B48" i="9"/>
  <c r="A48" i="9"/>
  <c r="A47" i="9"/>
  <c r="I45" i="9"/>
  <c r="H45" i="9"/>
  <c r="G45" i="9"/>
  <c r="F45" i="9"/>
  <c r="A45" i="9"/>
  <c r="A43" i="9"/>
  <c r="A41" i="9"/>
  <c r="I39" i="9"/>
  <c r="H39" i="9"/>
  <c r="G39" i="9"/>
  <c r="F39" i="9"/>
  <c r="A39" i="9"/>
  <c r="A37" i="9"/>
  <c r="B35" i="9"/>
  <c r="A35" i="9"/>
  <c r="B34" i="9"/>
  <c r="A34" i="9"/>
  <c r="B32" i="9"/>
  <c r="A32" i="9"/>
  <c r="B31" i="9"/>
  <c r="A31" i="9"/>
  <c r="A29" i="9"/>
  <c r="B28" i="9"/>
  <c r="A28" i="9"/>
  <c r="B26" i="9"/>
  <c r="A26" i="9"/>
  <c r="B25" i="9"/>
  <c r="A25" i="9"/>
  <c r="B23" i="9"/>
  <c r="A23" i="9"/>
  <c r="A21" i="9"/>
  <c r="B18" i="9"/>
  <c r="A18" i="9"/>
  <c r="B17" i="9"/>
  <c r="A17" i="9"/>
  <c r="B16" i="9"/>
  <c r="A16" i="9"/>
  <c r="B15" i="9"/>
  <c r="A15" i="9"/>
  <c r="A14" i="9"/>
  <c r="B12" i="9"/>
  <c r="A12" i="9"/>
  <c r="B11" i="9"/>
  <c r="A11" i="9"/>
  <c r="B10" i="9"/>
  <c r="A10" i="9"/>
  <c r="B9" i="9"/>
  <c r="A9" i="9"/>
  <c r="B8" i="9"/>
  <c r="A8" i="9"/>
  <c r="A7" i="9"/>
  <c r="A6" i="9"/>
  <c r="C85" i="10" l="1"/>
  <c r="C128" i="9"/>
  <c r="D128" i="10"/>
  <c r="E124" i="9"/>
  <c r="E128" i="9" s="1"/>
  <c r="E85" i="10"/>
  <c r="I128" i="10"/>
  <c r="I55" i="9"/>
  <c r="I85" i="9" s="1"/>
  <c r="H124" i="9"/>
  <c r="D124" i="9"/>
  <c r="E55" i="9"/>
  <c r="E85" i="9" s="1"/>
  <c r="H128" i="10"/>
  <c r="H55" i="9"/>
  <c r="H128" i="9" s="1"/>
  <c r="I124" i="9"/>
  <c r="I128" i="9" s="1"/>
  <c r="D55" i="9"/>
  <c r="D85" i="9" s="1"/>
  <c r="F55" i="9"/>
  <c r="F85" i="9" s="1"/>
  <c r="D128" i="9"/>
  <c r="G55" i="9"/>
  <c r="G85" i="9" s="1"/>
  <c r="G124" i="9"/>
  <c r="F124" i="9"/>
  <c r="H85" i="9" l="1"/>
  <c r="F128" i="9"/>
  <c r="G128" i="9"/>
  <c r="C112" i="7"/>
  <c r="E121" i="7" l="1"/>
  <c r="E112" i="7"/>
  <c r="E82" i="7"/>
  <c r="E52" i="7"/>
  <c r="E45" i="7"/>
  <c r="E39" i="7"/>
  <c r="C121" i="7"/>
  <c r="C82" i="7"/>
  <c r="C52" i="7"/>
  <c r="C45" i="7"/>
  <c r="C39" i="7"/>
  <c r="C55" i="7" s="1"/>
  <c r="A128" i="7"/>
  <c r="A124" i="7"/>
  <c r="H121" i="7"/>
  <c r="G121" i="7"/>
  <c r="F121" i="7"/>
  <c r="D121" i="7"/>
  <c r="A121" i="7"/>
  <c r="B119" i="7"/>
  <c r="A119" i="7"/>
  <c r="B118" i="7"/>
  <c r="A118" i="7"/>
  <c r="B116" i="7"/>
  <c r="A116" i="7"/>
  <c r="A115" i="7"/>
  <c r="H112" i="7"/>
  <c r="G112" i="7"/>
  <c r="F112" i="7"/>
  <c r="D112" i="7"/>
  <c r="A112" i="7"/>
  <c r="B110" i="7"/>
  <c r="A110" i="7"/>
  <c r="B109" i="7"/>
  <c r="A109" i="7"/>
  <c r="B108" i="7"/>
  <c r="A108" i="7"/>
  <c r="B107" i="7"/>
  <c r="A107" i="7"/>
  <c r="B106" i="7"/>
  <c r="A106" i="7"/>
  <c r="B105" i="7"/>
  <c r="A105" i="7"/>
  <c r="B104" i="7"/>
  <c r="A104" i="7"/>
  <c r="A102" i="7"/>
  <c r="B101" i="7"/>
  <c r="A101" i="7"/>
  <c r="B99" i="7"/>
  <c r="A99" i="7"/>
  <c r="A98" i="7"/>
  <c r="B97" i="7"/>
  <c r="A97" i="7"/>
  <c r="B95" i="7"/>
  <c r="A95" i="7"/>
  <c r="B94" i="7"/>
  <c r="A94" i="7"/>
  <c r="B92" i="7"/>
  <c r="A92" i="7"/>
  <c r="B90" i="7"/>
  <c r="A90" i="7"/>
  <c r="B89" i="7"/>
  <c r="A89" i="7"/>
  <c r="B88" i="7"/>
  <c r="A88" i="7"/>
  <c r="A87" i="7"/>
  <c r="A85" i="7"/>
  <c r="H82" i="7"/>
  <c r="H124" i="7" s="1"/>
  <c r="G82" i="7"/>
  <c r="F82" i="7"/>
  <c r="D82" i="7"/>
  <c r="A82" i="7"/>
  <c r="B80" i="7"/>
  <c r="A80" i="7"/>
  <c r="B79" i="7"/>
  <c r="A79" i="7"/>
  <c r="B77" i="7"/>
  <c r="A77" i="7"/>
  <c r="A74" i="7"/>
  <c r="B72" i="7"/>
  <c r="A72" i="7"/>
  <c r="B70" i="7"/>
  <c r="A70" i="7"/>
  <c r="B68" i="7"/>
  <c r="A68" i="7"/>
  <c r="B66" i="7"/>
  <c r="A66" i="7"/>
  <c r="B65" i="7"/>
  <c r="A65" i="7"/>
  <c r="B64" i="7"/>
  <c r="A64" i="7"/>
  <c r="B63" i="7"/>
  <c r="A63" i="7"/>
  <c r="B62" i="7"/>
  <c r="A62" i="7"/>
  <c r="B61" i="7"/>
  <c r="A61" i="7"/>
  <c r="B60" i="7"/>
  <c r="A60" i="7"/>
  <c r="A58" i="7"/>
  <c r="A57" i="7"/>
  <c r="A55" i="7"/>
  <c r="H52" i="7"/>
  <c r="G52" i="7"/>
  <c r="F52" i="7"/>
  <c r="D52" i="7"/>
  <c r="A52" i="7"/>
  <c r="A50" i="7"/>
  <c r="B49" i="7"/>
  <c r="A49" i="7"/>
  <c r="B48" i="7"/>
  <c r="A48" i="7"/>
  <c r="A47" i="7"/>
  <c r="H45" i="7"/>
  <c r="G45" i="7"/>
  <c r="F45" i="7"/>
  <c r="D45" i="7"/>
  <c r="A45" i="7"/>
  <c r="A43" i="7"/>
  <c r="A41" i="7"/>
  <c r="H39" i="7"/>
  <c r="G39" i="7"/>
  <c r="F39" i="7"/>
  <c r="D39" i="7"/>
  <c r="A39" i="7"/>
  <c r="A37" i="7"/>
  <c r="B35" i="7"/>
  <c r="A35" i="7"/>
  <c r="B34" i="7"/>
  <c r="A34" i="7"/>
  <c r="B32" i="7"/>
  <c r="A32" i="7"/>
  <c r="B31" i="7"/>
  <c r="A31" i="7"/>
  <c r="A29" i="7"/>
  <c r="B28" i="7"/>
  <c r="A28" i="7"/>
  <c r="B26" i="7"/>
  <c r="A26" i="7"/>
  <c r="B25" i="7"/>
  <c r="A25" i="7"/>
  <c r="B23" i="7"/>
  <c r="A23" i="7"/>
  <c r="A21" i="7"/>
  <c r="B20" i="7"/>
  <c r="A20" i="7"/>
  <c r="B18" i="7"/>
  <c r="A18" i="7"/>
  <c r="B17" i="7"/>
  <c r="A17" i="7"/>
  <c r="B16" i="7"/>
  <c r="A16" i="7"/>
  <c r="B15" i="7"/>
  <c r="A15" i="7"/>
  <c r="A14" i="7"/>
  <c r="B12" i="7"/>
  <c r="A12" i="7"/>
  <c r="B11" i="7"/>
  <c r="A11" i="7"/>
  <c r="B10" i="7"/>
  <c r="A10" i="7"/>
  <c r="B9" i="7"/>
  <c r="A9" i="7"/>
  <c r="B8" i="7"/>
  <c r="A8" i="7"/>
  <c r="A7" i="7"/>
  <c r="A6" i="7"/>
  <c r="E124" i="7"/>
  <c r="J73" i="6"/>
  <c r="C52" i="6"/>
  <c r="C45" i="6"/>
  <c r="E119" i="6"/>
  <c r="E110" i="6"/>
  <c r="E81" i="6"/>
  <c r="E52" i="6"/>
  <c r="E45" i="6"/>
  <c r="E39" i="6"/>
  <c r="C39" i="6"/>
  <c r="A126" i="6"/>
  <c r="A122" i="6"/>
  <c r="I119" i="6"/>
  <c r="H119" i="6"/>
  <c r="G119" i="6"/>
  <c r="F119" i="6"/>
  <c r="D119" i="6"/>
  <c r="C119" i="6"/>
  <c r="A119" i="6"/>
  <c r="B117" i="6"/>
  <c r="A117" i="6"/>
  <c r="B116" i="6"/>
  <c r="A116" i="6"/>
  <c r="B114" i="6"/>
  <c r="A114" i="6"/>
  <c r="A113" i="6"/>
  <c r="I110" i="6"/>
  <c r="H110" i="6"/>
  <c r="G110" i="6"/>
  <c r="F110" i="6"/>
  <c r="D110" i="6"/>
  <c r="C110" i="6"/>
  <c r="A110" i="6"/>
  <c r="B108" i="6"/>
  <c r="A108" i="6"/>
  <c r="B107" i="6"/>
  <c r="A107" i="6"/>
  <c r="B106" i="6"/>
  <c r="A106" i="6"/>
  <c r="B105" i="6"/>
  <c r="A105" i="6"/>
  <c r="B104" i="6"/>
  <c r="A104" i="6"/>
  <c r="B103" i="6"/>
  <c r="A103" i="6"/>
  <c r="B102" i="6"/>
  <c r="A102" i="6"/>
  <c r="B100" i="6"/>
  <c r="A100" i="6"/>
  <c r="B99" i="6"/>
  <c r="A99" i="6"/>
  <c r="B97" i="6"/>
  <c r="A97" i="6"/>
  <c r="A96" i="6"/>
  <c r="B95" i="6"/>
  <c r="A95" i="6"/>
  <c r="B93" i="6"/>
  <c r="A93" i="6"/>
  <c r="B92" i="6"/>
  <c r="A92" i="6"/>
  <c r="B90" i="6"/>
  <c r="A90" i="6"/>
  <c r="B89" i="6"/>
  <c r="A89" i="6"/>
  <c r="B88" i="6"/>
  <c r="A88" i="6"/>
  <c r="B87" i="6"/>
  <c r="A87" i="6"/>
  <c r="A86" i="6"/>
  <c r="A84" i="6"/>
  <c r="I81" i="6"/>
  <c r="H81" i="6"/>
  <c r="G81" i="6"/>
  <c r="G122" i="6" s="1"/>
  <c r="F81" i="6"/>
  <c r="D81" i="6"/>
  <c r="C81" i="6"/>
  <c r="A81" i="6"/>
  <c r="B79" i="6"/>
  <c r="A79" i="6"/>
  <c r="B78" i="6"/>
  <c r="A78" i="6"/>
  <c r="B76" i="6"/>
  <c r="A76" i="6"/>
  <c r="B74" i="6"/>
  <c r="A74" i="6"/>
  <c r="A73" i="6"/>
  <c r="B72" i="6"/>
  <c r="A72" i="6"/>
  <c r="B70" i="6"/>
  <c r="A70" i="6"/>
  <c r="B68" i="6"/>
  <c r="A68" i="6"/>
  <c r="B66" i="6"/>
  <c r="A66" i="6"/>
  <c r="B65" i="6"/>
  <c r="A65" i="6"/>
  <c r="B64" i="6"/>
  <c r="A64" i="6"/>
  <c r="B63" i="6"/>
  <c r="A63" i="6"/>
  <c r="B62" i="6"/>
  <c r="A62" i="6"/>
  <c r="B61" i="6"/>
  <c r="A61" i="6"/>
  <c r="B60" i="6"/>
  <c r="A60" i="6"/>
  <c r="B59" i="6"/>
  <c r="A59" i="6"/>
  <c r="A58" i="6"/>
  <c r="A57" i="6"/>
  <c r="A55" i="6"/>
  <c r="I52" i="6"/>
  <c r="H52" i="6"/>
  <c r="G52" i="6"/>
  <c r="F52" i="6"/>
  <c r="D52" i="6"/>
  <c r="A52" i="6"/>
  <c r="A50" i="6"/>
  <c r="B49" i="6"/>
  <c r="A49" i="6"/>
  <c r="B48" i="6"/>
  <c r="A48" i="6"/>
  <c r="A47" i="6"/>
  <c r="I45" i="6"/>
  <c r="H45" i="6"/>
  <c r="G45" i="6"/>
  <c r="F45" i="6"/>
  <c r="D45" i="6"/>
  <c r="A45" i="6"/>
  <c r="A43" i="6"/>
  <c r="A41" i="6"/>
  <c r="I39" i="6"/>
  <c r="I55" i="6" s="1"/>
  <c r="I84" i="6" s="1"/>
  <c r="H39" i="6"/>
  <c r="H55" i="6" s="1"/>
  <c r="H84" i="6" s="1"/>
  <c r="G39" i="6"/>
  <c r="G55" i="6" s="1"/>
  <c r="F39" i="6"/>
  <c r="D39" i="6"/>
  <c r="D55" i="6" s="1"/>
  <c r="A39" i="6"/>
  <c r="A37" i="6"/>
  <c r="B35" i="6"/>
  <c r="A35" i="6"/>
  <c r="B34" i="6"/>
  <c r="A34" i="6"/>
  <c r="B32" i="6"/>
  <c r="A32" i="6"/>
  <c r="B31" i="6"/>
  <c r="A31" i="6"/>
  <c r="A29" i="6"/>
  <c r="B28" i="6"/>
  <c r="A28" i="6"/>
  <c r="B26" i="6"/>
  <c r="A26" i="6"/>
  <c r="B25" i="6"/>
  <c r="A25" i="6"/>
  <c r="B23" i="6"/>
  <c r="A23" i="6"/>
  <c r="A21" i="6"/>
  <c r="B20" i="6"/>
  <c r="A20" i="6"/>
  <c r="B18" i="6"/>
  <c r="A18" i="6"/>
  <c r="B17" i="6"/>
  <c r="A17" i="6"/>
  <c r="B16" i="6"/>
  <c r="A16" i="6"/>
  <c r="B15" i="6"/>
  <c r="A15" i="6"/>
  <c r="A14" i="6"/>
  <c r="B12" i="6"/>
  <c r="A12" i="6"/>
  <c r="B11" i="6"/>
  <c r="A11" i="6"/>
  <c r="B10" i="6"/>
  <c r="A10" i="6"/>
  <c r="B9" i="6"/>
  <c r="A9" i="6"/>
  <c r="B8" i="6"/>
  <c r="A8" i="6"/>
  <c r="A7" i="6"/>
  <c r="A6" i="6"/>
  <c r="A2" i="6"/>
  <c r="A1" i="6"/>
  <c r="C118" i="5"/>
  <c r="C68" i="5"/>
  <c r="C81" i="5" s="1"/>
  <c r="C9" i="5"/>
  <c r="C28" i="5"/>
  <c r="C45" i="5"/>
  <c r="C52" i="5"/>
  <c r="C109" i="5"/>
  <c r="E118" i="5"/>
  <c r="E121" i="5" s="1"/>
  <c r="A125" i="5"/>
  <c r="A121" i="5"/>
  <c r="H118" i="5"/>
  <c r="G118" i="5"/>
  <c r="F118" i="5"/>
  <c r="D118" i="5"/>
  <c r="A118" i="5"/>
  <c r="B116" i="5"/>
  <c r="A116" i="5"/>
  <c r="B115" i="5"/>
  <c r="A115" i="5"/>
  <c r="B113" i="5"/>
  <c r="A113" i="5"/>
  <c r="A112" i="5"/>
  <c r="H109" i="5"/>
  <c r="G109" i="5"/>
  <c r="F109" i="5"/>
  <c r="E109" i="5"/>
  <c r="D109" i="5"/>
  <c r="A109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99" i="5"/>
  <c r="A99" i="5"/>
  <c r="B98" i="5"/>
  <c r="A98" i="5"/>
  <c r="B96" i="5"/>
  <c r="A96" i="5"/>
  <c r="A95" i="5"/>
  <c r="B94" i="5"/>
  <c r="A94" i="5"/>
  <c r="B93" i="5"/>
  <c r="A93" i="5"/>
  <c r="B92" i="5"/>
  <c r="A92" i="5"/>
  <c r="B90" i="5"/>
  <c r="A90" i="5"/>
  <c r="B89" i="5"/>
  <c r="A89" i="5"/>
  <c r="B88" i="5"/>
  <c r="A88" i="5"/>
  <c r="B87" i="5"/>
  <c r="A87" i="5"/>
  <c r="A86" i="5"/>
  <c r="A84" i="5"/>
  <c r="H81" i="5"/>
  <c r="G81" i="5"/>
  <c r="F81" i="5"/>
  <c r="E81" i="5"/>
  <c r="D81" i="5"/>
  <c r="A81" i="5"/>
  <c r="B79" i="5"/>
  <c r="A79" i="5"/>
  <c r="B78" i="5"/>
  <c r="A78" i="5"/>
  <c r="B76" i="5"/>
  <c r="A76" i="5"/>
  <c r="B74" i="5"/>
  <c r="A74" i="5"/>
  <c r="A73" i="5"/>
  <c r="B72" i="5"/>
  <c r="A72" i="5"/>
  <c r="B71" i="5"/>
  <c r="A71" i="5"/>
  <c r="B69" i="5"/>
  <c r="A69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A58" i="5"/>
  <c r="A57" i="5"/>
  <c r="A55" i="5"/>
  <c r="H52" i="5"/>
  <c r="G52" i="5"/>
  <c r="F52" i="5"/>
  <c r="E52" i="5"/>
  <c r="D52" i="5"/>
  <c r="A52" i="5"/>
  <c r="A50" i="5"/>
  <c r="B49" i="5"/>
  <c r="A49" i="5"/>
  <c r="B48" i="5"/>
  <c r="A48" i="5"/>
  <c r="A47" i="5"/>
  <c r="H45" i="5"/>
  <c r="G45" i="5"/>
  <c r="F45" i="5"/>
  <c r="E45" i="5"/>
  <c r="D45" i="5"/>
  <c r="A45" i="5"/>
  <c r="A43" i="5"/>
  <c r="A41" i="5"/>
  <c r="H39" i="5"/>
  <c r="H55" i="5" s="1"/>
  <c r="G39" i="5"/>
  <c r="F39" i="5"/>
  <c r="E39" i="5"/>
  <c r="E55" i="5" s="1"/>
  <c r="D39" i="5"/>
  <c r="D55" i="5" s="1"/>
  <c r="A39" i="5"/>
  <c r="A37" i="5"/>
  <c r="B35" i="5"/>
  <c r="A35" i="5"/>
  <c r="B34" i="5"/>
  <c r="A34" i="5"/>
  <c r="B32" i="5"/>
  <c r="A32" i="5"/>
  <c r="B31" i="5"/>
  <c r="A31" i="5"/>
  <c r="A29" i="5"/>
  <c r="B28" i="5"/>
  <c r="A28" i="5"/>
  <c r="B26" i="5"/>
  <c r="A26" i="5"/>
  <c r="B25" i="5"/>
  <c r="A25" i="5"/>
  <c r="B23" i="5"/>
  <c r="A23" i="5"/>
  <c r="A21" i="5"/>
  <c r="B20" i="5"/>
  <c r="A20" i="5"/>
  <c r="B18" i="5"/>
  <c r="A18" i="5"/>
  <c r="B17" i="5"/>
  <c r="A17" i="5"/>
  <c r="B16" i="5"/>
  <c r="A16" i="5"/>
  <c r="B15" i="5"/>
  <c r="A15" i="5"/>
  <c r="A14" i="5"/>
  <c r="B12" i="5"/>
  <c r="A12" i="5"/>
  <c r="B11" i="5"/>
  <c r="A11" i="5"/>
  <c r="B10" i="5"/>
  <c r="A10" i="5"/>
  <c r="B9" i="5"/>
  <c r="A9" i="5"/>
  <c r="B8" i="5"/>
  <c r="A8" i="5"/>
  <c r="A7" i="5"/>
  <c r="A6" i="5"/>
  <c r="A2" i="5"/>
  <c r="A1" i="5"/>
  <c r="C39" i="4"/>
  <c r="C80" i="4"/>
  <c r="C52" i="4"/>
  <c r="C45" i="4"/>
  <c r="D80" i="4"/>
  <c r="D108" i="4"/>
  <c r="C117" i="4"/>
  <c r="C108" i="4"/>
  <c r="A124" i="4"/>
  <c r="A120" i="4"/>
  <c r="H117" i="4"/>
  <c r="G117" i="4"/>
  <c r="F117" i="4"/>
  <c r="E117" i="4"/>
  <c r="D117" i="4"/>
  <c r="A117" i="4"/>
  <c r="B115" i="4"/>
  <c r="A115" i="4"/>
  <c r="B114" i="4"/>
  <c r="A114" i="4"/>
  <c r="B112" i="4"/>
  <c r="A112" i="4"/>
  <c r="A111" i="4"/>
  <c r="H108" i="4"/>
  <c r="G108" i="4"/>
  <c r="F108" i="4"/>
  <c r="E108" i="4"/>
  <c r="A108" i="4"/>
  <c r="B106" i="4"/>
  <c r="A106" i="4"/>
  <c r="B105" i="4"/>
  <c r="A105" i="4"/>
  <c r="B104" i="4"/>
  <c r="A104" i="4"/>
  <c r="B103" i="4"/>
  <c r="A103" i="4"/>
  <c r="B102" i="4"/>
  <c r="A102" i="4"/>
  <c r="B101" i="4"/>
  <c r="A101" i="4"/>
  <c r="B100" i="4"/>
  <c r="A100" i="4"/>
  <c r="B98" i="4"/>
  <c r="A98" i="4"/>
  <c r="B97" i="4"/>
  <c r="A97" i="4"/>
  <c r="B95" i="4"/>
  <c r="A95" i="4"/>
  <c r="B94" i="4"/>
  <c r="A94" i="4"/>
  <c r="B93" i="4"/>
  <c r="A93" i="4"/>
  <c r="B92" i="4"/>
  <c r="A92" i="4"/>
  <c r="B91" i="4"/>
  <c r="A91" i="4"/>
  <c r="B89" i="4"/>
  <c r="A89" i="4"/>
  <c r="B88" i="4"/>
  <c r="A88" i="4"/>
  <c r="B87" i="4"/>
  <c r="A87" i="4"/>
  <c r="B86" i="4"/>
  <c r="A86" i="4"/>
  <c r="A85" i="4"/>
  <c r="A83" i="4"/>
  <c r="H80" i="4"/>
  <c r="G80" i="4"/>
  <c r="F80" i="4"/>
  <c r="E80" i="4"/>
  <c r="A80" i="4"/>
  <c r="B78" i="4"/>
  <c r="A78" i="4"/>
  <c r="B77" i="4"/>
  <c r="A77" i="4"/>
  <c r="B75" i="4"/>
  <c r="A75" i="4"/>
  <c r="B73" i="4"/>
  <c r="A73" i="4"/>
  <c r="A72" i="4"/>
  <c r="B71" i="4"/>
  <c r="A71" i="4"/>
  <c r="B70" i="4"/>
  <c r="A70" i="4"/>
  <c r="B69" i="4"/>
  <c r="A69" i="4"/>
  <c r="B67" i="4"/>
  <c r="A67" i="4"/>
  <c r="B66" i="4"/>
  <c r="A66" i="4"/>
  <c r="B65" i="4"/>
  <c r="A65" i="4"/>
  <c r="B64" i="4"/>
  <c r="A64" i="4"/>
  <c r="B63" i="4"/>
  <c r="A63" i="4"/>
  <c r="B62" i="4"/>
  <c r="A62" i="4"/>
  <c r="B61" i="4"/>
  <c r="A61" i="4"/>
  <c r="B60" i="4"/>
  <c r="A60" i="4"/>
  <c r="B59" i="4"/>
  <c r="A59" i="4"/>
  <c r="A58" i="4"/>
  <c r="A57" i="4"/>
  <c r="A55" i="4"/>
  <c r="H52" i="4"/>
  <c r="G52" i="4"/>
  <c r="F52" i="4"/>
  <c r="E52" i="4"/>
  <c r="D52" i="4"/>
  <c r="A52" i="4"/>
  <c r="A50" i="4"/>
  <c r="B49" i="4"/>
  <c r="A49" i="4"/>
  <c r="B48" i="4"/>
  <c r="A48" i="4"/>
  <c r="A47" i="4"/>
  <c r="H45" i="4"/>
  <c r="G45" i="4"/>
  <c r="F45" i="4"/>
  <c r="E45" i="4"/>
  <c r="D45" i="4"/>
  <c r="A45" i="4"/>
  <c r="B43" i="4"/>
  <c r="A43" i="4"/>
  <c r="A41" i="4"/>
  <c r="H39" i="4"/>
  <c r="G39" i="4"/>
  <c r="F39" i="4"/>
  <c r="E39" i="4"/>
  <c r="D39" i="4"/>
  <c r="A39" i="4"/>
  <c r="A37" i="4"/>
  <c r="B35" i="4"/>
  <c r="A35" i="4"/>
  <c r="B34" i="4"/>
  <c r="A34" i="4"/>
  <c r="B32" i="4"/>
  <c r="A32" i="4"/>
  <c r="B31" i="4"/>
  <c r="A31" i="4"/>
  <c r="A29" i="4"/>
  <c r="B28" i="4"/>
  <c r="A28" i="4"/>
  <c r="B26" i="4"/>
  <c r="A26" i="4"/>
  <c r="B25" i="4"/>
  <c r="A25" i="4"/>
  <c r="B23" i="4"/>
  <c r="A23" i="4"/>
  <c r="A21" i="4"/>
  <c r="B20" i="4"/>
  <c r="A20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A8" i="4"/>
  <c r="A7" i="4"/>
  <c r="A3" i="4"/>
  <c r="A2" i="4"/>
  <c r="A1" i="4"/>
  <c r="E116" i="2"/>
  <c r="C80" i="2"/>
  <c r="C116" i="2"/>
  <c r="C108" i="2"/>
  <c r="C39" i="2"/>
  <c r="C52" i="2"/>
  <c r="C45" i="2"/>
  <c r="E45" i="2"/>
  <c r="E108" i="2"/>
  <c r="E80" i="2"/>
  <c r="E52" i="2"/>
  <c r="E39" i="2"/>
  <c r="E55" i="2" s="1"/>
  <c r="E83" i="2" s="1"/>
  <c r="A123" i="2"/>
  <c r="A119" i="2"/>
  <c r="H116" i="2"/>
  <c r="G116" i="2"/>
  <c r="F116" i="2"/>
  <c r="D116" i="2"/>
  <c r="A116" i="2"/>
  <c r="B114" i="2"/>
  <c r="A114" i="2"/>
  <c r="B113" i="2"/>
  <c r="A113" i="2"/>
  <c r="B112" i="2"/>
  <c r="A112" i="2"/>
  <c r="A111" i="2"/>
  <c r="H108" i="2"/>
  <c r="G108" i="2"/>
  <c r="F108" i="2"/>
  <c r="D108" i="2"/>
  <c r="A108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8" i="2"/>
  <c r="A98" i="2"/>
  <c r="B97" i="2"/>
  <c r="A97" i="2"/>
  <c r="B95" i="2"/>
  <c r="A95" i="2"/>
  <c r="B94" i="2"/>
  <c r="A94" i="2"/>
  <c r="B93" i="2"/>
  <c r="A93" i="2"/>
  <c r="B92" i="2"/>
  <c r="A92" i="2"/>
  <c r="B91" i="2"/>
  <c r="A91" i="2"/>
  <c r="B89" i="2"/>
  <c r="A89" i="2"/>
  <c r="B88" i="2"/>
  <c r="A88" i="2"/>
  <c r="B87" i="2"/>
  <c r="A87" i="2"/>
  <c r="B86" i="2"/>
  <c r="A86" i="2"/>
  <c r="A85" i="2"/>
  <c r="A83" i="2"/>
  <c r="H80" i="2"/>
  <c r="G80" i="2"/>
  <c r="F80" i="2"/>
  <c r="D80" i="2"/>
  <c r="A80" i="2"/>
  <c r="B78" i="2"/>
  <c r="A78" i="2"/>
  <c r="B77" i="2"/>
  <c r="A77" i="2"/>
  <c r="B75" i="2"/>
  <c r="A75" i="2"/>
  <c r="B73" i="2"/>
  <c r="A73" i="2"/>
  <c r="A72" i="2"/>
  <c r="B71" i="2"/>
  <c r="A71" i="2"/>
  <c r="B70" i="2"/>
  <c r="A70" i="2"/>
  <c r="B69" i="2"/>
  <c r="A69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A58" i="2"/>
  <c r="A57" i="2"/>
  <c r="A55" i="2"/>
  <c r="H52" i="2"/>
  <c r="G52" i="2"/>
  <c r="F52" i="2"/>
  <c r="D52" i="2"/>
  <c r="A52" i="2"/>
  <c r="A50" i="2"/>
  <c r="B49" i="2"/>
  <c r="A49" i="2"/>
  <c r="B48" i="2"/>
  <c r="A48" i="2"/>
  <c r="A47" i="2"/>
  <c r="H45" i="2"/>
  <c r="G45" i="2"/>
  <c r="F45" i="2"/>
  <c r="D45" i="2"/>
  <c r="A45" i="2"/>
  <c r="B43" i="2"/>
  <c r="A43" i="2"/>
  <c r="A41" i="2"/>
  <c r="H39" i="2"/>
  <c r="G39" i="2"/>
  <c r="F39" i="2"/>
  <c r="D39" i="2"/>
  <c r="D55" i="2" s="1"/>
  <c r="A39" i="2"/>
  <c r="A37" i="2"/>
  <c r="B35" i="2"/>
  <c r="A35" i="2"/>
  <c r="B34" i="2"/>
  <c r="A34" i="2"/>
  <c r="B32" i="2"/>
  <c r="A32" i="2"/>
  <c r="B31" i="2"/>
  <c r="A31" i="2"/>
  <c r="A29" i="2"/>
  <c r="B28" i="2"/>
  <c r="A28" i="2"/>
  <c r="B26" i="2"/>
  <c r="A26" i="2"/>
  <c r="B25" i="2"/>
  <c r="A25" i="2"/>
  <c r="B23" i="2"/>
  <c r="A23" i="2"/>
  <c r="A21" i="2"/>
  <c r="B20" i="2"/>
  <c r="A20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A8" i="2"/>
  <c r="A7" i="2"/>
  <c r="A3" i="2"/>
  <c r="A2" i="2"/>
  <c r="A1" i="2"/>
  <c r="D110" i="1"/>
  <c r="D103" i="1"/>
  <c r="D75" i="1"/>
  <c r="D50" i="1"/>
  <c r="D43" i="1"/>
  <c r="D53" i="1" s="1"/>
  <c r="D78" i="1" s="1"/>
  <c r="E110" i="1"/>
  <c r="E103" i="1"/>
  <c r="E75" i="1"/>
  <c r="E37" i="1"/>
  <c r="E53" i="1" s="1"/>
  <c r="E43" i="1"/>
  <c r="E50" i="1"/>
  <c r="D37" i="1"/>
  <c r="C110" i="1"/>
  <c r="C103" i="1"/>
  <c r="C75" i="1"/>
  <c r="C37" i="1"/>
  <c r="C43" i="1"/>
  <c r="C50" i="1"/>
  <c r="I110" i="1"/>
  <c r="I103" i="1"/>
  <c r="I75" i="1"/>
  <c r="I113" i="1" s="1"/>
  <c r="I50" i="1"/>
  <c r="I43" i="1"/>
  <c r="I37" i="1"/>
  <c r="G110" i="1"/>
  <c r="G103" i="1"/>
  <c r="G75" i="1"/>
  <c r="G50" i="1"/>
  <c r="G43" i="1"/>
  <c r="G37" i="1"/>
  <c r="A117" i="1"/>
  <c r="A113" i="1"/>
  <c r="A110" i="1"/>
  <c r="B108" i="1"/>
  <c r="A108" i="1"/>
  <c r="B107" i="1"/>
  <c r="A107" i="1"/>
  <c r="B106" i="1"/>
  <c r="A106" i="1"/>
  <c r="A105" i="1"/>
  <c r="A103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3" i="1"/>
  <c r="A93" i="1"/>
  <c r="B92" i="1"/>
  <c r="A92" i="1"/>
  <c r="B90" i="1"/>
  <c r="A90" i="1"/>
  <c r="B89" i="1"/>
  <c r="A89" i="1"/>
  <c r="B88" i="1"/>
  <c r="A88" i="1"/>
  <c r="B87" i="1"/>
  <c r="A87" i="1"/>
  <c r="B86" i="1"/>
  <c r="A86" i="1"/>
  <c r="B84" i="1"/>
  <c r="A84" i="1"/>
  <c r="B83" i="1"/>
  <c r="A83" i="1"/>
  <c r="B82" i="1"/>
  <c r="A82" i="1"/>
  <c r="B81" i="1"/>
  <c r="A81" i="1"/>
  <c r="A80" i="1"/>
  <c r="A78" i="1"/>
  <c r="A75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A56" i="1"/>
  <c r="A55" i="1"/>
  <c r="A53" i="1"/>
  <c r="A50" i="1"/>
  <c r="B48" i="1"/>
  <c r="A48" i="1"/>
  <c r="B47" i="1"/>
  <c r="A47" i="1"/>
  <c r="B46" i="1"/>
  <c r="A46" i="1"/>
  <c r="A45" i="1"/>
  <c r="A43" i="1"/>
  <c r="B41" i="1"/>
  <c r="A41" i="1"/>
  <c r="A39" i="1"/>
  <c r="A37" i="1"/>
  <c r="B35" i="1"/>
  <c r="A35" i="1"/>
  <c r="B33" i="1"/>
  <c r="A33" i="1"/>
  <c r="B32" i="1"/>
  <c r="A32" i="1"/>
  <c r="B31" i="1"/>
  <c r="A31" i="1"/>
  <c r="B30" i="1"/>
  <c r="A30" i="1"/>
  <c r="B29" i="1"/>
  <c r="A29" i="1"/>
  <c r="B28" i="1"/>
  <c r="A28" i="1"/>
  <c r="B26" i="1"/>
  <c r="A26" i="1"/>
  <c r="B25" i="1"/>
  <c r="A25" i="1"/>
  <c r="B24" i="1"/>
  <c r="A24" i="1"/>
  <c r="A22" i="1"/>
  <c r="B21" i="1"/>
  <c r="A21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A9" i="1"/>
  <c r="A8" i="1"/>
  <c r="E6" i="1"/>
  <c r="A3" i="1"/>
  <c r="A2" i="1"/>
  <c r="A1" i="1"/>
  <c r="G119" i="2"/>
  <c r="F120" i="4" l="1"/>
  <c r="G121" i="5"/>
  <c r="F55" i="4"/>
  <c r="E84" i="5"/>
  <c r="E125" i="5"/>
  <c r="D55" i="7"/>
  <c r="D85" i="7" s="1"/>
  <c r="F55" i="7"/>
  <c r="F85" i="7" s="1"/>
  <c r="E55" i="4"/>
  <c r="H120" i="4"/>
  <c r="D120" i="4"/>
  <c r="C120" i="4"/>
  <c r="D122" i="6"/>
  <c r="I122" i="6"/>
  <c r="G120" i="4"/>
  <c r="H119" i="2"/>
  <c r="F122" i="6"/>
  <c r="C55" i="6"/>
  <c r="E122" i="6"/>
  <c r="I53" i="1"/>
  <c r="I117" i="1" s="1"/>
  <c r="C53" i="1"/>
  <c r="D55" i="4"/>
  <c r="D124" i="4" s="1"/>
  <c r="D121" i="5"/>
  <c r="D125" i="5" s="1"/>
  <c r="H121" i="5"/>
  <c r="H125" i="5" s="1"/>
  <c r="H55" i="2"/>
  <c r="C119" i="2"/>
  <c r="G55" i="4"/>
  <c r="G124" i="4" s="1"/>
  <c r="D124" i="7"/>
  <c r="F119" i="2"/>
  <c r="C84" i="6"/>
  <c r="D83" i="4"/>
  <c r="F124" i="4"/>
  <c r="F83" i="4"/>
  <c r="D113" i="1"/>
  <c r="E119" i="2"/>
  <c r="E123" i="2" s="1"/>
  <c r="C55" i="2"/>
  <c r="F55" i="5"/>
  <c r="F84" i="5" s="1"/>
  <c r="E55" i="6"/>
  <c r="C124" i="7"/>
  <c r="G113" i="1"/>
  <c r="C113" i="1"/>
  <c r="F55" i="2"/>
  <c r="E120" i="4"/>
  <c r="H55" i="4"/>
  <c r="H83" i="4" s="1"/>
  <c r="C121" i="5"/>
  <c r="H122" i="6"/>
  <c r="G55" i="7"/>
  <c r="G85" i="7" s="1"/>
  <c r="H55" i="7"/>
  <c r="G55" i="2"/>
  <c r="G83" i="2" s="1"/>
  <c r="C55" i="4"/>
  <c r="F124" i="7"/>
  <c r="E55" i="7"/>
  <c r="E128" i="7" s="1"/>
  <c r="D117" i="1"/>
  <c r="F121" i="5"/>
  <c r="I126" i="6"/>
  <c r="G124" i="7"/>
  <c r="E113" i="1"/>
  <c r="D119" i="2"/>
  <c r="D123" i="2" s="1"/>
  <c r="C122" i="6"/>
  <c r="G53" i="1"/>
  <c r="G78" i="1" s="1"/>
  <c r="G55" i="5"/>
  <c r="G125" i="5" s="1"/>
  <c r="C39" i="5"/>
  <c r="C55" i="5" s="1"/>
  <c r="F55" i="6"/>
  <c r="D126" i="6"/>
  <c r="E84" i="6"/>
  <c r="H85" i="7"/>
  <c r="H128" i="7"/>
  <c r="C83" i="4"/>
  <c r="C78" i="1"/>
  <c r="C117" i="1"/>
  <c r="E117" i="1"/>
  <c r="E78" i="1"/>
  <c r="C83" i="2"/>
  <c r="C123" i="2"/>
  <c r="E124" i="4"/>
  <c r="E83" i="4"/>
  <c r="I78" i="1"/>
  <c r="H83" i="2"/>
  <c r="G83" i="4"/>
  <c r="F83" i="2"/>
  <c r="F123" i="2"/>
  <c r="C84" i="5"/>
  <c r="G84" i="6"/>
  <c r="G126" i="6"/>
  <c r="F84" i="6"/>
  <c r="F126" i="6"/>
  <c r="H84" i="5"/>
  <c r="D84" i="6"/>
  <c r="D83" i="2"/>
  <c r="D84" i="5"/>
  <c r="C126" i="6"/>
  <c r="H126" i="6"/>
  <c r="C128" i="7"/>
  <c r="C85" i="7"/>
  <c r="G128" i="7" l="1"/>
  <c r="H123" i="2"/>
  <c r="C124" i="4"/>
  <c r="E126" i="6"/>
  <c r="H124" i="4"/>
  <c r="E85" i="7"/>
  <c r="G123" i="2"/>
  <c r="C125" i="5"/>
  <c r="F125" i="5"/>
  <c r="D128" i="7"/>
  <c r="F128" i="7"/>
  <c r="G117" i="1"/>
  <c r="G8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  <author>Nottan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E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tc={FF0F5FEF-135E-45AF-A1FC-5F9EF8B39EFF}</author>
    <author>Charlotte</author>
    <author>Nottan</author>
  </authors>
  <commentList>
    <comment ref="B62" authorId="0" shapeId="0" xr:uid="{FF0F5FEF-135E-45AF-A1FC-5F9EF8B39EFF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5" authorId="1" shapeId="0" xr:uid="{36EBFDDA-DBDD-422D-A863-510642A6297E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K76" authorId="2" shapeId="0" xr:uid="{501F7F13-4E7F-4A16-92A2-D475EDC8495A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tc={2AEC8C26-F1B7-4D69-9EA7-B19C35C8028E}</author>
    <author>Charlotte</author>
    <author>Nottan</author>
  </authors>
  <commentList>
    <comment ref="B63" authorId="0" shapeId="0" xr:uid="{2AEC8C26-F1B7-4D69-9EA7-B19C35C8028E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6" authorId="1" shapeId="0" xr:uid="{97B94B72-F1FD-4B39-9F9A-DAF6A3B0E3A2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L77" authorId="2" shapeId="0" xr:uid="{8F47A5A6-6D7A-4BB8-8596-0590F513369D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tc={AEEA715F-4342-43EC-9C4E-9C9AAEB3CE8A}</author>
    <author>Charlotte</author>
    <author>Nottan</author>
  </authors>
  <commentList>
    <comment ref="B63" authorId="0" shapeId="0" xr:uid="{AEEA715F-4342-43EC-9C4E-9C9AAEB3CE8A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6" authorId="1" shapeId="0" xr:uid="{98910D32-3644-4390-9A06-C50389CB6DA6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M77" authorId="2" shapeId="0" xr:uid="{1077DC5A-C6BC-4025-ADCC-DCDA75F49525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tc={C15F4343-958D-4764-93E5-8B9D2F5B99CC}</author>
    <author>Charlotte</author>
    <author>Nottan</author>
  </authors>
  <commentList>
    <comment ref="B64" authorId="0" shapeId="0" xr:uid="{C15F4343-958D-4764-93E5-8B9D2F5B99CC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7" authorId="1" shapeId="0" xr:uid="{C5F9502A-A461-4FFD-9468-D64FA793157E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N78" authorId="2" shapeId="0" xr:uid="{82FF1DA1-9B65-419D-A2BC-33D8958BE155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tc={7F3646F1-1C04-447F-B201-DA386480F49B}</author>
    <author>Charlotte</author>
    <author>Nottan</author>
  </authors>
  <commentList>
    <comment ref="B65" authorId="0" shapeId="0" xr:uid="{7F3646F1-1C04-447F-B201-DA386480F49B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8" authorId="1" shapeId="0" xr:uid="{435FB84C-0380-499E-B350-3817BC638B05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O79" authorId="2" shapeId="0" xr:uid="{1F1C388B-74A5-4D06-A7BA-DA48A143DC87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tc={E096F97F-1CD9-4A1E-AB71-81C18D6FCDAC}</author>
    <author>tc={178C163D-50B6-4F6E-B076-091FF96D6290}</author>
    <author>Charlotte</author>
    <author>Nottan</author>
    <author>tc={85F87F72-4D0F-4046-845F-B2ADD9895BAC}</author>
  </authors>
  <commentList>
    <comment ref="B14" authorId="0" shapeId="0" xr:uid="{E096F97F-1CD9-4A1E-AB71-81C18D6FCDA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Städa Sverige 12000, Valborg 10000
</t>
      </text>
    </comment>
    <comment ref="B65" authorId="1" shapeId="0" xr:uid="{178C163D-50B6-4F6E-B076-091FF96D6290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8" authorId="2" shapeId="0" xr:uid="{44713C8A-D87C-4155-B287-845421D0DA71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P79" authorId="3" shapeId="0" xr:uid="{D8C3832A-F095-4C0A-B290-EF7A17194924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  <comment ref="B106" authorId="4" shapeId="0" xr:uid="{85F87F72-4D0F-4046-845F-B2ADD9895BAC}">
      <text>
        <t>[Threaded comment]
Your version of Excel allows you to read this threaded comment; however, any edits to it will get removed if the file is opened in a newer version of Excel. Learn more: https://go.microsoft.com/fwlink/?linkid=870924
Comment:
    Slutföra kanotförrådet</t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</authors>
  <commentList>
    <comment ref="C52" authorId="0" shapeId="0" xr:uid="{B9773230-B7DF-4612-BADF-7B7A5556A2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</authors>
  <commentList>
    <comment ref="B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svensexa</t>
        </r>
      </text>
    </comment>
    <comment ref="B6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B7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</t>
        </r>
      </text>
    </comment>
    <comment ref="B8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inne och ute</t>
        </r>
      </text>
    </comment>
    <comment ref="C8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lås, larm, bastu golv, nät till landgång</t>
        </r>
      </text>
    </comment>
    <comment ref="B9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</authors>
  <commentList>
    <comment ref="C2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T2 data 10 000
LF 5 000
osv
</t>
        </r>
      </text>
    </comment>
    <comment ref="C2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crafoord 20 000</t>
        </r>
      </text>
    </comment>
    <comment ref="B4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svensexa</t>
        </r>
      </text>
    </comment>
    <comment ref="B6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B7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</t>
        </r>
      </text>
    </comment>
    <comment ref="B9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inne och ute</t>
        </r>
      </text>
    </comment>
    <comment ref="D9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lås, larm, bastu golv, nät till landgång</t>
        </r>
      </text>
    </comment>
    <comment ref="B9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</authors>
  <commentList>
    <comment ref="B6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B9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inne och ute</t>
        </r>
      </text>
    </comment>
    <comment ref="D9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lås, larm, bastu golv, nät till landgång</t>
        </r>
      </text>
    </comment>
    <comment ref="B99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  <author>Nottan</author>
  </authors>
  <commentList>
    <comment ref="B6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B7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kapell polokanot 4800, medicinbollar 4000,2 st K1 á12500, paddlar 2500, hjälmar 3000, 
2st K2 15´+ 30´
</t>
        </r>
      </text>
    </comment>
    <comment ref="B9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herrarnas omkl rum, dusch, bastu, killarnas golv 50 000kr</t>
        </r>
      </text>
    </comment>
    <comment ref="B10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anv ej
</t>
        </r>
      </text>
    </comment>
    <comment ref="B104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köpa nr lappar till kanoter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  <author>Nottan</author>
  </authors>
  <commentList>
    <comment ref="B6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E73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  <author>Nottan</author>
    <author>Charlotte Pålsson</author>
  </authors>
  <commentList>
    <comment ref="B6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E7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  <comment ref="D74" authorId="2" shapeId="0" xr:uid="{00000000-0006-0000-0800-000003000000}">
      <text>
        <r>
          <rPr>
            <b/>
            <sz val="9"/>
            <color indexed="81"/>
            <rFont val="Tahoma"/>
            <family val="2"/>
          </rPr>
          <t>Charlotte Pålsson:</t>
        </r>
        <r>
          <rPr>
            <sz val="9"/>
            <color indexed="81"/>
            <rFont val="Tahoma"/>
            <family val="2"/>
          </rPr>
          <t xml:space="preserve">
K4 + flytvästar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</author>
    <author>Nottan</author>
    <author>Charlotte Pålsson</author>
  </authors>
  <commentList>
    <comment ref="B61" authorId="0" shapeId="0" xr:uid="{57C30AE3-26F2-4295-B2AC-487F252D8CC5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I70" authorId="1" shapeId="0" xr:uid="{E9B57D1D-4B59-405B-B332-A8F0D18DA627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  <comment ref="D73" authorId="2" shapeId="0" xr:uid="{015E6F0F-E236-47DD-8BB5-DD7EB2B32225}">
      <text>
        <r>
          <rPr>
            <b/>
            <sz val="9"/>
            <color indexed="81"/>
            <rFont val="Tahoma"/>
            <family val="2"/>
          </rPr>
          <t>Charlotte Pålsson:</t>
        </r>
        <r>
          <rPr>
            <sz val="9"/>
            <color indexed="81"/>
            <rFont val="Tahoma"/>
            <family val="2"/>
          </rPr>
          <t xml:space="preserve">
K4 + flytvästar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tc={234FD788-64FF-435C-8172-CDB5547DEF92}</author>
    <author>Charlotte</author>
    <author>Nottan</author>
  </authors>
  <commentList>
    <comment ref="B59" authorId="0" shapeId="0" xr:uid="{234FD788-64FF-435C-8172-CDB5547DEF92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för kanotställ släp.</t>
      </text>
    </comment>
    <comment ref="B62" authorId="1" shapeId="0" xr:uid="{AE55F3B5-E89A-428E-AC53-CF1788DC90E0}">
      <text>
        <r>
          <rPr>
            <b/>
            <sz val="9"/>
            <color indexed="81"/>
            <rFont val="Tahoma"/>
            <family val="2"/>
          </rPr>
          <t>Charlotte:</t>
        </r>
        <r>
          <rPr>
            <sz val="9"/>
            <color indexed="81"/>
            <rFont val="Tahoma"/>
            <family val="2"/>
          </rPr>
          <t xml:space="preserve">
klubbläger
</t>
        </r>
      </text>
    </comment>
    <comment ref="J72" authorId="2" shapeId="0" xr:uid="{0152FA3A-2B23-4A2A-BD7A-C79683EA17A3}">
      <text>
        <r>
          <rPr>
            <b/>
            <sz val="9"/>
            <color indexed="81"/>
            <rFont val="Tahoma"/>
            <family val="2"/>
          </rPr>
          <t>Nottan:</t>
        </r>
        <r>
          <rPr>
            <sz val="9"/>
            <color indexed="81"/>
            <rFont val="Tahoma"/>
            <family val="2"/>
          </rPr>
          <t xml:space="preserve">
Ers Pålle varmorts läger Portugal
</t>
        </r>
      </text>
    </comment>
  </commentList>
</comments>
</file>

<file path=xl/sharedStrings.xml><?xml version="1.0" encoding="utf-8"?>
<sst xmlns="http://schemas.openxmlformats.org/spreadsheetml/2006/main" count="1510" uniqueCount="208">
  <si>
    <t>Lödde Kanotklubb</t>
  </si>
  <si>
    <t>obs! minus framför</t>
  </si>
  <si>
    <t>kostnaderna!</t>
  </si>
  <si>
    <t>bokfört t om 161026</t>
  </si>
  <si>
    <t>Budget</t>
  </si>
  <si>
    <t>Utfall</t>
  </si>
  <si>
    <t>3144</t>
  </si>
  <si>
    <t>Intäkter evenemang</t>
  </si>
  <si>
    <t>Intäkter hyrsevice</t>
  </si>
  <si>
    <t>Övriga tävlingsintäkter</t>
  </si>
  <si>
    <t>Anmälningsavgifter läger</t>
  </si>
  <si>
    <t>3222</t>
  </si>
  <si>
    <t>Övriga lägerintäkter</t>
  </si>
  <si>
    <t>3231</t>
  </si>
  <si>
    <t>Intäkter elitsatsning (landslag)</t>
  </si>
  <si>
    <t>3410</t>
  </si>
  <si>
    <t>Intäkter Skåneregattan</t>
  </si>
  <si>
    <t>="Intäkter Stiftelser"</t>
  </si>
  <si>
    <t>3422</t>
  </si>
  <si>
    <t>Intäkter Idrottslyftet</t>
  </si>
  <si>
    <t>3711</t>
  </si>
  <si>
    <t>Bidrag utegym</t>
  </si>
  <si>
    <t>3780</t>
  </si>
  <si>
    <t>Bidrag Lokal renovering</t>
  </si>
  <si>
    <t>Övriga bidrag Försäljning båt</t>
  </si>
  <si>
    <t>3800</t>
  </si>
  <si>
    <t>Medlemmars pengar</t>
  </si>
  <si>
    <t>Uthyrning av lokal</t>
  </si>
  <si>
    <t>Intäkter fest</t>
  </si>
  <si>
    <t>Öresutjämning</t>
  </si>
  <si>
    <t>4023</t>
  </si>
  <si>
    <t>Övriga lägerkostnader</t>
  </si>
  <si>
    <t>4031</t>
  </si>
  <si>
    <t>Kostnad elitsatsning</t>
  </si>
  <si>
    <t>4115</t>
  </si>
  <si>
    <t>Kostnader prova-på-paddling</t>
  </si>
  <si>
    <t>41xx</t>
  </si>
  <si>
    <t>Tränararvode</t>
  </si>
  <si>
    <t>Nyanskaf.av kanoter och material</t>
  </si>
  <si>
    <t>4422</t>
  </si>
  <si>
    <t>Aktivitetskostnad idrottslyft</t>
  </si>
  <si>
    <t>4423</t>
  </si>
  <si>
    <t>Sponsring FF</t>
  </si>
  <si>
    <t>4611</t>
  </si>
  <si>
    <t>Kostnad fest</t>
  </si>
  <si>
    <t>5150</t>
  </si>
  <si>
    <t>Kostnader larm</t>
  </si>
  <si>
    <t>5175</t>
  </si>
  <si>
    <t>Kostnader utegym</t>
  </si>
  <si>
    <t>5460</t>
  </si>
  <si>
    <t>Förbrukningsmaterial</t>
  </si>
  <si>
    <t>Bensin</t>
  </si>
  <si>
    <t>5613</t>
  </si>
  <si>
    <t>Skatt och besiktning</t>
  </si>
  <si>
    <t>="Kostnader motorbåt"</t>
  </si>
  <si>
    <t>5910</t>
  </si>
  <si>
    <t>Kostnad PR/Sponsor</t>
  </si>
  <si>
    <t>7115</t>
  </si>
  <si>
    <t>Ersättning ungdomar vid evenem</t>
  </si>
  <si>
    <t>8300</t>
  </si>
  <si>
    <t>Ränteintäkter</t>
  </si>
  <si>
    <t>317</t>
  </si>
  <si>
    <t>Behålla kanotskole elever från 2010</t>
  </si>
  <si>
    <t>200kr för de som fortsätter efter kanotskolan</t>
  </si>
  <si>
    <t>Kanotskuleelever fr 2010</t>
  </si>
  <si>
    <t>Ej flera kanotplatser</t>
  </si>
  <si>
    <t>Två veckor med för &amp; eftermiddag</t>
  </si>
  <si>
    <t>Fler dagar, högre avgifter , Annika&amp; Carina gör ett förslag och tar helhetsansvaret</t>
  </si>
  <si>
    <t>2000kr/plats</t>
  </si>
  <si>
    <t>höja avgiften??</t>
  </si>
  <si>
    <t>Motsvarar årets utfall</t>
  </si>
  <si>
    <t>16,500kr blev året</t>
  </si>
  <si>
    <t>samma som 2010</t>
  </si>
  <si>
    <t>ok</t>
  </si>
  <si>
    <t>7000kr blev året</t>
  </si>
  <si>
    <t>triss</t>
  </si>
  <si>
    <t>vänta</t>
  </si>
  <si>
    <t>rimligt</t>
  </si>
  <si>
    <t>15000kr har vi redan fått</t>
  </si>
  <si>
    <t>Medlemars pengar</t>
  </si>
  <si>
    <t>Lödde hyrservice</t>
  </si>
  <si>
    <t>utfall 2010</t>
  </si>
  <si>
    <t>79000kr utfall</t>
  </si>
  <si>
    <t>53000kr utfall</t>
  </si>
  <si>
    <t>som 2010</t>
  </si>
  <si>
    <t>8000kr utfall</t>
  </si>
  <si>
    <t>nya kanoter 4st * 7000kr lagning</t>
  </si>
  <si>
    <t>bryggan + låssystem</t>
  </si>
  <si>
    <t>2500kr utfall</t>
  </si>
  <si>
    <t>315</t>
  </si>
  <si>
    <t xml:space="preserve">kanotskola </t>
  </si>
  <si>
    <t>650:-/barn</t>
  </si>
  <si>
    <t>Bokade bort kostnaden på 40` Rosa bandet, endast de 10`är med</t>
  </si>
  <si>
    <t>Crafoord är nu med här</t>
  </si>
  <si>
    <t>endast 2011 års bidrag</t>
  </si>
  <si>
    <t>3540</t>
  </si>
  <si>
    <t>Försäljning idrottkl. /material</t>
  </si>
  <si>
    <t>="Övriga bidrag" Försäljning båt</t>
  </si>
  <si>
    <t>="Intäkter fest"</t>
  </si>
  <si>
    <t>varmorts läger</t>
  </si>
  <si>
    <t>har lagt till tjejträffarna</t>
  </si>
  <si>
    <t>="Nyanskaf.av kanoter och material"</t>
  </si>
  <si>
    <t>Konto 4220, här har jag bokat upp kanoterna och paddlarna som kommer 2012</t>
  </si>
  <si>
    <t>5171</t>
  </si>
  <si>
    <t>Lokal renovering</t>
  </si>
  <si>
    <t>Har bokat bort de 40 000:- kostnad Rosa bandet</t>
  </si>
  <si>
    <t>kanot syd, licenser, sv kanotförbundet</t>
  </si>
  <si>
    <t>Här ligger nu bidragen till tränarna</t>
  </si>
  <si>
    <t>kolla utfall</t>
  </si>
  <si>
    <t>="Bensin"</t>
  </si>
  <si>
    <t xml:space="preserve">Enl bokför tom </t>
  </si>
  <si>
    <t xml:space="preserve">3 75 och 2 65 Zedtech. </t>
  </si>
  <si>
    <t>Ny Hody K2:a</t>
  </si>
  <si>
    <t>Nya paddlar</t>
  </si>
  <si>
    <t>Nya fotstöd och sitsar Plastex K2:or</t>
  </si>
  <si>
    <t>Stöldskyddssmärkning + service</t>
  </si>
  <si>
    <t>Bokfört t om</t>
  </si>
  <si>
    <t>Vad avser detta?</t>
  </si>
  <si>
    <t>Fortfarande giltig?</t>
  </si>
  <si>
    <t>Bidrag lokalrenovering</t>
  </si>
  <si>
    <t>Vad är detta?</t>
  </si>
  <si>
    <t>budget</t>
  </si>
  <si>
    <t>Anmälningsavgifter mindre läger</t>
  </si>
  <si>
    <t>Anm avg varmortsläger</t>
  </si>
  <si>
    <t>="Lägerkostnader klubbläger</t>
  </si>
  <si>
    <t>Kostnader varmortsläger</t>
  </si>
  <si>
    <t>Kostnad landslagsuppdrag</t>
  </si>
  <si>
    <t>6530</t>
  </si>
  <si>
    <t>Redovisningskostnader</t>
  </si>
  <si>
    <t>Skillnad</t>
  </si>
  <si>
    <t>3232</t>
  </si>
  <si>
    <t>Träningskort Subventionerat</t>
  </si>
  <si>
    <t>="Gräsroten"</t>
  </si>
  <si>
    <t>3541</t>
  </si>
  <si>
    <t>Försäljning gamla kanoter</t>
  </si>
  <si>
    <t>3740</t>
  </si>
  <si>
    <t>Bidrag för fastighetsrenovering</t>
  </si>
  <si>
    <t>3900</t>
  </si>
  <si>
    <t>Försäkringsersättning</t>
  </si>
  <si>
    <t>4010</t>
  </si>
  <si>
    <t>Tävlingskostnader</t>
  </si>
  <si>
    <t>Kostnader Evenemang</t>
  </si>
  <si>
    <t>4125</t>
  </si>
  <si>
    <t>4130</t>
  </si>
  <si>
    <t>Föräldraföreningen</t>
  </si>
  <si>
    <t>4210</t>
  </si>
  <si>
    <t>Kostnad Träningskort</t>
  </si>
  <si>
    <t>5020</t>
  </si>
  <si>
    <t>El hyrd lokal</t>
  </si>
  <si>
    <t xml:space="preserve"> </t>
  </si>
  <si>
    <t>Förs av idrottskläder/idrottsmaterial</t>
  </si>
  <si>
    <t>-</t>
  </si>
  <si>
    <t>Kostnader Klubbkläder</t>
  </si>
  <si>
    <t>4025</t>
  </si>
  <si>
    <t>Kostnad klubbläger</t>
  </si>
  <si>
    <t>3111</t>
  </si>
  <si>
    <t>Aktivitetsavgift</t>
  </si>
  <si>
    <t>Intäkter landslagsuppdrag tävling</t>
  </si>
  <si>
    <t>3233</t>
  </si>
  <si>
    <t>Intäkter landslagsuppdrag läger</t>
  </si>
  <si>
    <t>Svenska Spel</t>
  </si>
  <si>
    <t>Intäkter Stiftelser</t>
  </si>
  <si>
    <t>3720</t>
  </si>
  <si>
    <t>Statliga Bidrag</t>
  </si>
  <si>
    <t>Kostnad landslagsuppdrag tävling</t>
  </si>
  <si>
    <t>4033</t>
  </si>
  <si>
    <t>Kostnad landslagsuppdrag läger</t>
  </si>
  <si>
    <t>4132</t>
  </si>
  <si>
    <t>Föreningskläder /föreningsmaterial</t>
  </si>
  <si>
    <t>6390</t>
  </si>
  <si>
    <t>Övr Kostnader</t>
  </si>
  <si>
    <t>="Intäkter kanotskola" (1490:-)</t>
  </si>
  <si>
    <t>3220</t>
  </si>
  <si>
    <t>Intäkter Läger</t>
  </si>
  <si>
    <t>Övriga bidrag ; Annika o Tom</t>
  </si>
  <si>
    <t>Kostnader Klubbläger</t>
  </si>
  <si>
    <t>5010</t>
  </si>
  <si>
    <t>Lokalhyra</t>
  </si>
  <si>
    <t>5614</t>
  </si>
  <si>
    <t>Reparation och underhåll</t>
  </si>
  <si>
    <t>int 542786,05</t>
  </si>
  <si>
    <t>kostn 413133,44</t>
  </si>
  <si>
    <t xml:space="preserve">Övriga bidrag </t>
  </si>
  <si>
    <t>3987</t>
  </si>
  <si>
    <t>Kommunala bidrag</t>
  </si>
  <si>
    <t>5090</t>
  </si>
  <si>
    <t>Övr. kostnader hyrd lokal</t>
  </si>
  <si>
    <t>6310</t>
  </si>
  <si>
    <t>Företagsförsäkringar</t>
  </si>
  <si>
    <t>Intäkter Idrottsmedel</t>
  </si>
  <si>
    <t>3510</t>
  </si>
  <si>
    <t>Intäkter Styrketräning</t>
  </si>
  <si>
    <t>Kostnad Styrketräning</t>
  </si>
  <si>
    <t>7110</t>
  </si>
  <si>
    <t>Träningsbidrag</t>
  </si>
  <si>
    <t>Ersättning ungdomar</t>
  </si>
  <si>
    <t>7120</t>
  </si>
  <si>
    <t>Lägerbidrag</t>
  </si>
  <si>
    <t>Bidrag Lokalrenovering</t>
  </si>
  <si>
    <t>Lokalrenovering</t>
  </si>
  <si>
    <t>5176</t>
  </si>
  <si>
    <t>Gymutrustning</t>
  </si>
  <si>
    <t>Bilersättning</t>
  </si>
  <si>
    <t>Budget för räkenskapsåret 2023</t>
  </si>
  <si>
    <t>Förslag från styrelsen</t>
  </si>
  <si>
    <t>Trivselgruppen</t>
  </si>
  <si>
    <t>Ersättning/kostander vid evenmang</t>
  </si>
  <si>
    <t>Brygga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</si>
</sst>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_-* #,##0.000\ &quot;kr&quot;_-;\-* #,##0.000\ &quot;kr&quot;_-;_-* &quot;-&quot;??\ &quot;kr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44" fontId="1" fillId="0" borderId="0" xfId="1"/>
    <xf numFmtId="49" fontId="0" fillId="0" borderId="1" xfId="0" applyNumberFormat="1" applyBorder="1"/>
    <xf numFmtId="0" fontId="0" fillId="0" borderId="1" xfId="0" applyBorder="1"/>
    <xf numFmtId="14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4" fontId="1" fillId="0" borderId="1" xfId="1" applyBorder="1"/>
    <xf numFmtId="0" fontId="2" fillId="2" borderId="1" xfId="0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49" fontId="2" fillId="0" borderId="3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0" borderId="7" xfId="0" applyNumberFormat="1" applyFont="1" applyBorder="1"/>
    <xf numFmtId="0" fontId="0" fillId="0" borderId="8" xfId="0" applyBorder="1"/>
    <xf numFmtId="49" fontId="0" fillId="0" borderId="7" xfId="0" applyNumberFormat="1" applyBorder="1"/>
    <xf numFmtId="44" fontId="1" fillId="0" borderId="8" xfId="1" applyBorder="1"/>
    <xf numFmtId="0" fontId="0" fillId="0" borderId="7" xfId="0" applyBorder="1"/>
    <xf numFmtId="49" fontId="2" fillId="0" borderId="9" xfId="0" applyNumberFormat="1" applyFont="1" applyBorder="1"/>
    <xf numFmtId="44" fontId="2" fillId="0" borderId="2" xfId="1" applyFont="1" applyBorder="1"/>
    <xf numFmtId="44" fontId="2" fillId="0" borderId="10" xfId="1" applyFont="1" applyBorder="1"/>
    <xf numFmtId="44" fontId="1" fillId="0" borderId="5" xfId="1" applyBorder="1"/>
    <xf numFmtId="44" fontId="1" fillId="0" borderId="6" xfId="1" applyBorder="1"/>
    <xf numFmtId="49" fontId="2" fillId="2" borderId="9" xfId="0" applyNumberFormat="1" applyFont="1" applyFill="1" applyBorder="1"/>
    <xf numFmtId="0" fontId="2" fillId="2" borderId="2" xfId="0" applyFont="1" applyFill="1" applyBorder="1"/>
    <xf numFmtId="44" fontId="2" fillId="2" borderId="2" xfId="1" applyFont="1" applyFill="1" applyBorder="1"/>
    <xf numFmtId="44" fontId="2" fillId="2" borderId="10" xfId="1" applyFont="1" applyFill="1" applyBorder="1"/>
    <xf numFmtId="49" fontId="2" fillId="3" borderId="7" xfId="0" applyNumberFormat="1" applyFont="1" applyFill="1" applyBorder="1"/>
    <xf numFmtId="0" fontId="0" fillId="0" borderId="9" xfId="0" applyBorder="1"/>
    <xf numFmtId="0" fontId="0" fillId="0" borderId="10" xfId="0" applyBorder="1"/>
    <xf numFmtId="44" fontId="2" fillId="2" borderId="3" xfId="1" applyFont="1" applyFill="1" applyBorder="1"/>
    <xf numFmtId="44" fontId="1" fillId="2" borderId="1" xfId="1" applyFill="1" applyBorder="1"/>
    <xf numFmtId="44" fontId="1" fillId="2" borderId="5" xfId="1" applyFill="1" applyBorder="1"/>
    <xf numFmtId="44" fontId="1" fillId="2" borderId="2" xfId="1" applyFill="1" applyBorder="1"/>
    <xf numFmtId="44" fontId="1" fillId="2" borderId="0" xfId="1" applyFill="1"/>
    <xf numFmtId="49" fontId="3" fillId="0" borderId="1" xfId="0" applyNumberFormat="1" applyFont="1" applyBorder="1"/>
    <xf numFmtId="44" fontId="3" fillId="2" borderId="1" xfId="1" applyFont="1" applyFill="1" applyBorder="1"/>
    <xf numFmtId="44" fontId="0" fillId="0" borderId="0" xfId="0" applyNumberFormat="1"/>
    <xf numFmtId="1" fontId="2" fillId="0" borderId="1" xfId="0" applyNumberFormat="1" applyFont="1" applyBorder="1"/>
    <xf numFmtId="165" fontId="2" fillId="2" borderId="2" xfId="1" applyNumberFormat="1" applyFont="1" applyFill="1" applyBorder="1"/>
    <xf numFmtId="44" fontId="1" fillId="4" borderId="1" xfId="1" applyFill="1" applyBorder="1"/>
    <xf numFmtId="165" fontId="2" fillId="2" borderId="3" xfId="1" applyNumberFormat="1" applyFont="1" applyFill="1" applyBorder="1"/>
    <xf numFmtId="49" fontId="2" fillId="0" borderId="11" xfId="0" applyNumberFormat="1" applyFont="1" applyBorder="1"/>
    <xf numFmtId="44" fontId="2" fillId="0" borderId="3" xfId="1" applyFont="1" applyBorder="1"/>
    <xf numFmtId="44" fontId="2" fillId="0" borderId="12" xfId="1" applyFont="1" applyBorder="1"/>
    <xf numFmtId="0" fontId="0" fillId="5" borderId="0" xfId="0" applyFill="1"/>
    <xf numFmtId="165" fontId="2" fillId="0" borderId="2" xfId="1" applyNumberFormat="1" applyFont="1" applyBorder="1"/>
    <xf numFmtId="44" fontId="3" fillId="0" borderId="1" xfId="1" applyFont="1" applyBorder="1"/>
    <xf numFmtId="165" fontId="2" fillId="0" borderId="3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44" fontId="2" fillId="6" borderId="2" xfId="0" applyNumberFormat="1" applyFont="1" applyFill="1" applyBorder="1" applyAlignment="1">
      <alignment horizontal="center"/>
    </xf>
    <xf numFmtId="44" fontId="0" fillId="6" borderId="1" xfId="0" applyNumberForma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44" fontId="0" fillId="6" borderId="5" xfId="0" applyNumberFormat="1" applyFill="1" applyBorder="1" applyAlignment="1">
      <alignment horizontal="center"/>
    </xf>
    <xf numFmtId="44" fontId="2" fillId="6" borderId="3" xfId="0" applyNumberFormat="1" applyFont="1" applyFill="1" applyBorder="1" applyAlignment="1">
      <alignment horizontal="center"/>
    </xf>
    <xf numFmtId="44" fontId="2" fillId="6" borderId="1" xfId="0" applyNumberFormat="1" applyFont="1" applyFill="1" applyBorder="1" applyAlignment="1">
      <alignment horizontal="center"/>
    </xf>
    <xf numFmtId="44" fontId="1" fillId="0" borderId="2" xfId="1" applyBorder="1"/>
    <xf numFmtId="0" fontId="2" fillId="7" borderId="1" xfId="0" applyFont="1" applyFill="1" applyBorder="1" applyAlignment="1">
      <alignment horizontal="center"/>
    </xf>
    <xf numFmtId="44" fontId="2" fillId="7" borderId="3" xfId="1" applyFont="1" applyFill="1" applyBorder="1" applyAlignment="1">
      <alignment horizontal="center"/>
    </xf>
    <xf numFmtId="44" fontId="1" fillId="7" borderId="5" xfId="1" applyFill="1" applyBorder="1"/>
    <xf numFmtId="44" fontId="1" fillId="7" borderId="1" xfId="1" applyFill="1" applyBorder="1"/>
    <xf numFmtId="44" fontId="2" fillId="7" borderId="2" xfId="1" applyFont="1" applyFill="1" applyBorder="1"/>
    <xf numFmtId="165" fontId="2" fillId="7" borderId="2" xfId="1" applyNumberFormat="1" applyFont="1" applyFill="1" applyBorder="1"/>
    <xf numFmtId="44" fontId="3" fillId="7" borderId="1" xfId="1" applyFont="1" applyFill="1" applyBorder="1"/>
    <xf numFmtId="165" fontId="2" fillId="7" borderId="3" xfId="1" applyNumberFormat="1" applyFont="1" applyFill="1" applyBorder="1"/>
    <xf numFmtId="166" fontId="2" fillId="7" borderId="1" xfId="1" applyNumberFormat="1" applyFont="1" applyFill="1" applyBorder="1"/>
    <xf numFmtId="49" fontId="2" fillId="0" borderId="13" xfId="0" applyNumberFormat="1" applyFont="1" applyBorder="1"/>
    <xf numFmtId="0" fontId="2" fillId="0" borderId="14" xfId="0" applyFont="1" applyBorder="1"/>
    <xf numFmtId="44" fontId="2" fillId="6" borderId="14" xfId="0" applyNumberFormat="1" applyFont="1" applyFill="1" applyBorder="1" applyAlignment="1">
      <alignment horizontal="center"/>
    </xf>
    <xf numFmtId="165" fontId="2" fillId="7" borderId="14" xfId="1" applyNumberFormat="1" applyFont="1" applyFill="1" applyBorder="1"/>
    <xf numFmtId="165" fontId="2" fillId="0" borderId="14" xfId="1" applyNumberFormat="1" applyFont="1" applyBorder="1"/>
    <xf numFmtId="44" fontId="2" fillId="0" borderId="14" xfId="1" applyFont="1" applyBorder="1"/>
    <xf numFmtId="44" fontId="2" fillId="0" borderId="15" xfId="1" applyFont="1" applyBorder="1"/>
    <xf numFmtId="14" fontId="2" fillId="0" borderId="1" xfId="0" applyNumberFormat="1" applyFont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0" fillId="7" borderId="5" xfId="0" applyFill="1" applyBorder="1"/>
    <xf numFmtId="0" fontId="0" fillId="7" borderId="1" xfId="0" applyFill="1" applyBorder="1"/>
    <xf numFmtId="44" fontId="0" fillId="7" borderId="1" xfId="0" applyNumberFormat="1" applyFill="1" applyBorder="1" applyAlignment="1">
      <alignment horizontal="center"/>
    </xf>
    <xf numFmtId="44" fontId="3" fillId="7" borderId="1" xfId="0" applyNumberFormat="1" applyFont="1" applyFill="1" applyBorder="1" applyAlignment="1">
      <alignment horizontal="center"/>
    </xf>
    <xf numFmtId="44" fontId="2" fillId="7" borderId="2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4" fontId="2" fillId="7" borderId="14" xfId="0" applyNumberFormat="1" applyFont="1" applyFill="1" applyBorder="1" applyAlignment="1">
      <alignment horizontal="center"/>
    </xf>
    <xf numFmtId="44" fontId="0" fillId="7" borderId="5" xfId="0" applyNumberFormat="1" applyFill="1" applyBorder="1" applyAlignment="1">
      <alignment horizontal="center"/>
    </xf>
    <xf numFmtId="44" fontId="2" fillId="7" borderId="3" xfId="0" applyNumberFormat="1" applyFont="1" applyFill="1" applyBorder="1" applyAlignment="1">
      <alignment horizontal="center"/>
    </xf>
    <xf numFmtId="44" fontId="0" fillId="0" borderId="1" xfId="1" applyFont="1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8" borderId="5" xfId="0" applyFill="1" applyBorder="1"/>
    <xf numFmtId="0" fontId="0" fillId="8" borderId="1" xfId="0" applyFill="1" applyBorder="1"/>
    <xf numFmtId="164" fontId="0" fillId="8" borderId="1" xfId="2" applyFont="1" applyFill="1" applyBorder="1" applyAlignment="1">
      <alignment horizontal="center"/>
    </xf>
    <xf numFmtId="164" fontId="0" fillId="8" borderId="2" xfId="2" applyFont="1" applyFill="1" applyBorder="1" applyAlignment="1">
      <alignment horizontal="center"/>
    </xf>
    <xf numFmtId="164" fontId="0" fillId="8" borderId="16" xfId="2" applyFont="1" applyFill="1" applyBorder="1" applyAlignment="1">
      <alignment horizontal="center"/>
    </xf>
    <xf numFmtId="164" fontId="2" fillId="8" borderId="2" xfId="2" applyFont="1" applyFill="1" applyBorder="1" applyAlignment="1">
      <alignment horizontal="center"/>
    </xf>
    <xf numFmtId="164" fontId="0" fillId="8" borderId="17" xfId="2" applyFont="1" applyFill="1" applyBorder="1" applyAlignment="1">
      <alignment horizontal="center"/>
    </xf>
    <xf numFmtId="164" fontId="0" fillId="0" borderId="2" xfId="2" applyFont="1" applyBorder="1" applyAlignment="1">
      <alignment horizontal="center"/>
    </xf>
    <xf numFmtId="164" fontId="2" fillId="2" borderId="2" xfId="2" applyFont="1" applyFill="1" applyBorder="1" applyAlignment="1">
      <alignment horizontal="center"/>
    </xf>
    <xf numFmtId="44" fontId="2" fillId="2" borderId="2" xfId="0" applyNumberFormat="1" applyFont="1" applyFill="1" applyBorder="1" applyAlignment="1">
      <alignment horizontal="center"/>
    </xf>
    <xf numFmtId="164" fontId="0" fillId="2" borderId="2" xfId="2" applyFont="1" applyFill="1" applyBorder="1" applyAlignment="1">
      <alignment horizontal="center"/>
    </xf>
    <xf numFmtId="49" fontId="2" fillId="9" borderId="7" xfId="0" applyNumberFormat="1" applyFont="1" applyFill="1" applyBorder="1"/>
    <xf numFmtId="0" fontId="2" fillId="9" borderId="1" xfId="0" applyFont="1" applyFill="1" applyBorder="1"/>
    <xf numFmtId="164" fontId="2" fillId="9" borderId="1" xfId="2" applyFont="1" applyFill="1" applyBorder="1" applyAlignment="1">
      <alignment horizontal="center"/>
    </xf>
    <xf numFmtId="44" fontId="2" fillId="9" borderId="1" xfId="0" applyNumberFormat="1" applyFont="1" applyFill="1" applyBorder="1" applyAlignment="1">
      <alignment horizontal="center"/>
    </xf>
    <xf numFmtId="44" fontId="2" fillId="9" borderId="1" xfId="1" applyFont="1" applyFill="1" applyBorder="1"/>
    <xf numFmtId="0" fontId="0" fillId="0" borderId="7" xfId="0" applyBorder="1" applyAlignment="1">
      <alignment horizontal="left"/>
    </xf>
    <xf numFmtId="44" fontId="2" fillId="0" borderId="2" xfId="0" applyNumberFormat="1" applyFont="1" applyBorder="1" applyAlignment="1">
      <alignment horizontal="center"/>
    </xf>
    <xf numFmtId="44" fontId="2" fillId="0" borderId="0" xfId="0" applyNumberFormat="1" applyFont="1"/>
    <xf numFmtId="0" fontId="2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0" fillId="10" borderId="5" xfId="0" applyFill="1" applyBorder="1"/>
    <xf numFmtId="0" fontId="0" fillId="10" borderId="1" xfId="0" applyFill="1" applyBorder="1"/>
    <xf numFmtId="44" fontId="0" fillId="10" borderId="1" xfId="0" applyNumberFormat="1" applyFill="1" applyBorder="1" applyAlignment="1">
      <alignment horizontal="center"/>
    </xf>
    <xf numFmtId="44" fontId="3" fillId="10" borderId="1" xfId="0" applyNumberFormat="1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0" fillId="11" borderId="5" xfId="0" applyFill="1" applyBorder="1"/>
    <xf numFmtId="0" fontId="0" fillId="11" borderId="1" xfId="0" applyFill="1" applyBorder="1"/>
    <xf numFmtId="0" fontId="0" fillId="11" borderId="16" xfId="0" applyFill="1" applyBorder="1"/>
    <xf numFmtId="0" fontId="2" fillId="11" borderId="14" xfId="0" applyFont="1" applyFill="1" applyBorder="1"/>
    <xf numFmtId="0" fontId="2" fillId="11" borderId="3" xfId="0" applyFont="1" applyFill="1" applyBorder="1"/>
    <xf numFmtId="164" fontId="0" fillId="11" borderId="1" xfId="0" applyNumberFormat="1" applyFill="1" applyBorder="1"/>
    <xf numFmtId="164" fontId="3" fillId="11" borderId="1" xfId="0" applyNumberFormat="1" applyFont="1" applyFill="1" applyBorder="1"/>
    <xf numFmtId="164" fontId="2" fillId="11" borderId="2" xfId="0" applyNumberFormat="1" applyFont="1" applyFill="1" applyBorder="1"/>
    <xf numFmtId="164" fontId="0" fillId="11" borderId="1" xfId="2" applyFont="1" applyFill="1" applyBorder="1" applyAlignment="1">
      <alignment horizontal="center"/>
    </xf>
    <xf numFmtId="164" fontId="0" fillId="11" borderId="2" xfId="2" applyFont="1" applyFill="1" applyBorder="1" applyAlignment="1">
      <alignment horizontal="center"/>
    </xf>
    <xf numFmtId="44" fontId="0" fillId="11" borderId="1" xfId="2" applyNumberFormat="1" applyFont="1" applyFill="1" applyBorder="1" applyAlignment="1">
      <alignment horizontal="center"/>
    </xf>
    <xf numFmtId="44" fontId="2" fillId="11" borderId="2" xfId="0" applyNumberFormat="1" applyFont="1" applyFill="1" applyBorder="1"/>
    <xf numFmtId="164" fontId="2" fillId="2" borderId="2" xfId="0" applyNumberFormat="1" applyFont="1" applyFill="1" applyBorder="1"/>
    <xf numFmtId="44" fontId="0" fillId="11" borderId="1" xfId="0" applyNumberFormat="1" applyFill="1" applyBorder="1"/>
    <xf numFmtId="44" fontId="2" fillId="2" borderId="2" xfId="0" applyNumberFormat="1" applyFont="1" applyFill="1" applyBorder="1"/>
    <xf numFmtId="164" fontId="2" fillId="9" borderId="1" xfId="0" applyNumberFormat="1" applyFont="1" applyFill="1" applyBorder="1"/>
    <xf numFmtId="0" fontId="2" fillId="11" borderId="17" xfId="0" applyFont="1" applyFill="1" applyBorder="1"/>
    <xf numFmtId="44" fontId="1" fillId="0" borderId="18" xfId="1" applyBorder="1"/>
    <xf numFmtId="164" fontId="0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4" fontId="0" fillId="0" borderId="16" xfId="2" applyFont="1" applyBorder="1" applyAlignment="1">
      <alignment horizontal="center"/>
    </xf>
    <xf numFmtId="164" fontId="0" fillId="0" borderId="14" xfId="2" applyFont="1" applyBorder="1" applyAlignment="1">
      <alignment horizontal="center"/>
    </xf>
    <xf numFmtId="164" fontId="0" fillId="0" borderId="3" xfId="2" applyFont="1" applyBorder="1" applyAlignment="1">
      <alignment horizontal="center"/>
    </xf>
    <xf numFmtId="164" fontId="0" fillId="0" borderId="17" xfId="2" applyFont="1" applyBorder="1" applyAlignment="1">
      <alignment horizontal="center"/>
    </xf>
    <xf numFmtId="1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left"/>
    </xf>
    <xf numFmtId="165" fontId="0" fillId="0" borderId="0" xfId="1" applyNumberFormat="1" applyFont="1"/>
    <xf numFmtId="165" fontId="1" fillId="0" borderId="0" xfId="1" applyNumberFormat="1"/>
    <xf numFmtId="164" fontId="2" fillId="2" borderId="2" xfId="2" applyFont="1" applyFill="1" applyBorder="1"/>
    <xf numFmtId="164" fontId="2" fillId="9" borderId="1" xfId="2" applyFont="1" applyFill="1" applyBorder="1"/>
    <xf numFmtId="164" fontId="0" fillId="0" borderId="1" xfId="0" applyNumberFormat="1" applyBorder="1"/>
    <xf numFmtId="164" fontId="3" fillId="0" borderId="1" xfId="0" applyNumberFormat="1" applyFont="1" applyBorder="1"/>
    <xf numFmtId="164" fontId="2" fillId="0" borderId="2" xfId="0" applyNumberFormat="1" applyFont="1" applyBorder="1"/>
    <xf numFmtId="0" fontId="0" fillId="0" borderId="16" xfId="0" applyBorder="1"/>
    <xf numFmtId="44" fontId="0" fillId="0" borderId="1" xfId="2" applyNumberFormat="1" applyFont="1" applyBorder="1" applyAlignment="1">
      <alignment horizontal="center"/>
    </xf>
    <xf numFmtId="44" fontId="2" fillId="0" borderId="2" xfId="0" applyNumberFormat="1" applyFont="1" applyBorder="1"/>
    <xf numFmtId="44" fontId="0" fillId="0" borderId="1" xfId="0" applyNumberFormat="1" applyBorder="1"/>
    <xf numFmtId="0" fontId="2" fillId="0" borderId="17" xfId="0" applyFont="1" applyBorder="1"/>
    <xf numFmtId="0" fontId="2" fillId="12" borderId="1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0" fillId="12" borderId="5" xfId="0" applyFill="1" applyBorder="1"/>
    <xf numFmtId="0" fontId="0" fillId="12" borderId="1" xfId="0" applyFill="1" applyBorder="1"/>
    <xf numFmtId="164" fontId="0" fillId="12" borderId="1" xfId="2" applyFont="1" applyFill="1" applyBorder="1"/>
    <xf numFmtId="164" fontId="3" fillId="12" borderId="1" xfId="2" applyFont="1" applyFill="1" applyBorder="1"/>
    <xf numFmtId="164" fontId="2" fillId="12" borderId="2" xfId="2" applyFont="1" applyFill="1" applyBorder="1"/>
    <xf numFmtId="164" fontId="0" fillId="12" borderId="16" xfId="2" applyFont="1" applyFill="1" applyBorder="1"/>
    <xf numFmtId="164" fontId="2" fillId="12" borderId="17" xfId="2" applyFont="1" applyFill="1" applyBorder="1"/>
    <xf numFmtId="164" fontId="2" fillId="12" borderId="14" xfId="2" applyFont="1" applyFill="1" applyBorder="1"/>
    <xf numFmtId="164" fontId="2" fillId="12" borderId="3" xfId="2" applyFont="1" applyFill="1" applyBorder="1"/>
    <xf numFmtId="1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" xfId="2" applyFont="1" applyBorder="1"/>
    <xf numFmtId="164" fontId="2" fillId="0" borderId="2" xfId="2" applyFont="1" applyBorder="1"/>
    <xf numFmtId="164" fontId="0" fillId="0" borderId="16" xfId="2" applyFont="1" applyBorder="1"/>
    <xf numFmtId="164" fontId="2" fillId="0" borderId="14" xfId="2" applyFont="1" applyBorder="1"/>
    <xf numFmtId="0" fontId="0" fillId="0" borderId="19" xfId="0" applyBorder="1"/>
    <xf numFmtId="0" fontId="0" fillId="0" borderId="20" xfId="0" applyBorder="1"/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3" fillId="0" borderId="1" xfId="2" applyFont="1" applyBorder="1"/>
    <xf numFmtId="164" fontId="2" fillId="0" borderId="17" xfId="2" applyFont="1" applyBorder="1"/>
    <xf numFmtId="164" fontId="2" fillId="0" borderId="3" xfId="2" applyFont="1" applyBorder="1"/>
    <xf numFmtId="14" fontId="7" fillId="0" borderId="1" xfId="0" applyNumberFormat="1" applyFont="1" applyBorder="1" applyAlignment="1">
      <alignment horizontal="left"/>
    </xf>
    <xf numFmtId="0" fontId="2" fillId="13" borderId="1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0" fillId="13" borderId="5" xfId="0" applyFill="1" applyBorder="1"/>
    <xf numFmtId="0" fontId="0" fillId="13" borderId="1" xfId="0" applyFill="1" applyBorder="1"/>
    <xf numFmtId="49" fontId="0" fillId="13" borderId="1" xfId="0" applyNumberFormat="1" applyFill="1" applyBorder="1"/>
    <xf numFmtId="0" fontId="0" fillId="13" borderId="16" xfId="0" applyFill="1" applyBorder="1"/>
    <xf numFmtId="0" fontId="2" fillId="13" borderId="17" xfId="0" applyFont="1" applyFill="1" applyBorder="1"/>
    <xf numFmtId="0" fontId="2" fillId="13" borderId="14" xfId="0" applyFont="1" applyFill="1" applyBorder="1"/>
    <xf numFmtId="0" fontId="2" fillId="13" borderId="3" xfId="0" applyFont="1" applyFill="1" applyBorder="1"/>
    <xf numFmtId="164" fontId="2" fillId="13" borderId="2" xfId="2" applyFont="1" applyFill="1" applyBorder="1" applyAlignment="1">
      <alignment horizontal="center"/>
    </xf>
    <xf numFmtId="164" fontId="0" fillId="13" borderId="1" xfId="2" applyFont="1" applyFill="1" applyBorder="1"/>
    <xf numFmtId="164" fontId="3" fillId="13" borderId="1" xfId="2" applyFont="1" applyFill="1" applyBorder="1"/>
    <xf numFmtId="164" fontId="2" fillId="13" borderId="2" xfId="2" applyFont="1" applyFill="1" applyBorder="1"/>
    <xf numFmtId="164" fontId="2" fillId="13" borderId="2" xfId="0" applyNumberFormat="1" applyFont="1" applyFill="1" applyBorder="1"/>
    <xf numFmtId="0" fontId="2" fillId="14" borderId="1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0" fillId="14" borderId="5" xfId="0" applyFill="1" applyBorder="1"/>
    <xf numFmtId="0" fontId="0" fillId="14" borderId="1" xfId="0" applyFill="1" applyBorder="1"/>
    <xf numFmtId="164" fontId="0" fillId="14" borderId="1" xfId="2" applyFont="1" applyFill="1" applyBorder="1"/>
    <xf numFmtId="164" fontId="3" fillId="14" borderId="1" xfId="2" applyFont="1" applyFill="1" applyBorder="1"/>
    <xf numFmtId="164" fontId="2" fillId="14" borderId="2" xfId="2" applyFont="1" applyFill="1" applyBorder="1"/>
    <xf numFmtId="164" fontId="0" fillId="14" borderId="16" xfId="2" applyFont="1" applyFill="1" applyBorder="1"/>
    <xf numFmtId="164" fontId="2" fillId="14" borderId="17" xfId="2" applyFont="1" applyFill="1" applyBorder="1"/>
    <xf numFmtId="49" fontId="0" fillId="6" borderId="7" xfId="0" applyNumberFormat="1" applyFill="1" applyBorder="1" applyAlignment="1">
      <alignment horizontal="center"/>
    </xf>
    <xf numFmtId="49" fontId="0" fillId="6" borderId="1" xfId="0" applyNumberFormat="1" applyFill="1" applyBorder="1"/>
    <xf numFmtId="49" fontId="0" fillId="6" borderId="7" xfId="0" applyNumberFormat="1" applyFill="1" applyBorder="1"/>
    <xf numFmtId="164" fontId="2" fillId="14" borderId="14" xfId="2" applyFont="1" applyFill="1" applyBorder="1"/>
    <xf numFmtId="164" fontId="2" fillId="14" borderId="3" xfId="2" applyFont="1" applyFill="1" applyBorder="1"/>
    <xf numFmtId="0" fontId="0" fillId="14" borderId="16" xfId="2" applyNumberFormat="1" applyFont="1" applyFill="1" applyBorder="1"/>
    <xf numFmtId="0" fontId="0" fillId="14" borderId="1" xfId="2" applyNumberFormat="1" applyFont="1" applyFill="1" applyBorder="1"/>
    <xf numFmtId="0" fontId="2" fillId="14" borderId="17" xfId="2" applyNumberFormat="1" applyFont="1" applyFill="1" applyBorder="1"/>
    <xf numFmtId="0" fontId="2" fillId="14" borderId="14" xfId="2" applyNumberFormat="1" applyFont="1" applyFill="1" applyBorder="1"/>
    <xf numFmtId="0" fontId="2" fillId="14" borderId="3" xfId="2" applyNumberFormat="1" applyFont="1" applyFill="1" applyBorder="1"/>
    <xf numFmtId="1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/>
    <xf numFmtId="164" fontId="8" fillId="0" borderId="1" xfId="2" applyFont="1" applyBorder="1"/>
    <xf numFmtId="164" fontId="7" fillId="0" borderId="2" xfId="2" applyFont="1" applyBorder="1"/>
    <xf numFmtId="164" fontId="8" fillId="0" borderId="16" xfId="2" applyFont="1" applyBorder="1"/>
    <xf numFmtId="164" fontId="7" fillId="2" borderId="2" xfId="2" applyFont="1" applyFill="1" applyBorder="1"/>
    <xf numFmtId="164" fontId="7" fillId="0" borderId="17" xfId="2" applyFont="1" applyBorder="1"/>
    <xf numFmtId="164" fontId="7" fillId="0" borderId="14" xfId="2" applyFont="1" applyBorder="1"/>
    <xf numFmtId="164" fontId="7" fillId="0" borderId="3" xfId="2" applyFont="1" applyBorder="1"/>
    <xf numFmtId="164" fontId="7" fillId="9" borderId="1" xfId="2" applyFont="1" applyFill="1" applyBorder="1"/>
    <xf numFmtId="0" fontId="8" fillId="0" borderId="2" xfId="0" applyFont="1" applyBorder="1"/>
    <xf numFmtId="0" fontId="8" fillId="0" borderId="0" xfId="0" applyFont="1"/>
    <xf numFmtId="0" fontId="0" fillId="13" borderId="19" xfId="0" applyFill="1" applyBorder="1"/>
    <xf numFmtId="0" fontId="0" fillId="14" borderId="19" xfId="2" applyNumberFormat="1" applyFont="1" applyFill="1" applyBorder="1"/>
    <xf numFmtId="164" fontId="0" fillId="0" borderId="19" xfId="2" applyFont="1" applyBorder="1"/>
    <xf numFmtId="164" fontId="8" fillId="0" borderId="19" xfId="2" applyFont="1" applyBorder="1"/>
    <xf numFmtId="164" fontId="0" fillId="0" borderId="19" xfId="2" applyFont="1" applyBorder="1" applyAlignment="1">
      <alignment horizontal="center"/>
    </xf>
    <xf numFmtId="0" fontId="0" fillId="0" borderId="19" xfId="0" applyBorder="1" applyAlignment="1">
      <alignment horizontal="center"/>
    </xf>
    <xf numFmtId="164" fontId="1" fillId="0" borderId="1" xfId="2" applyBorder="1"/>
    <xf numFmtId="49" fontId="0" fillId="15" borderId="1" xfId="0" applyNumberFormat="1" applyFill="1" applyBorder="1"/>
    <xf numFmtId="1" fontId="2" fillId="15" borderId="1" xfId="0" applyNumberFormat="1" applyFont="1" applyFill="1" applyBorder="1" applyAlignment="1">
      <alignment horizontal="center"/>
    </xf>
    <xf numFmtId="14" fontId="2" fillId="15" borderId="1" xfId="0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0" fillId="15" borderId="5" xfId="0" applyFill="1" applyBorder="1"/>
    <xf numFmtId="0" fontId="0" fillId="15" borderId="1" xfId="0" applyFill="1" applyBorder="1"/>
    <xf numFmtId="164" fontId="0" fillId="15" borderId="1" xfId="2" applyFont="1" applyFill="1" applyBorder="1"/>
    <xf numFmtId="164" fontId="3" fillId="15" borderId="1" xfId="2" applyFont="1" applyFill="1" applyBorder="1"/>
    <xf numFmtId="164" fontId="2" fillId="15" borderId="2" xfId="2" applyFont="1" applyFill="1" applyBorder="1"/>
    <xf numFmtId="164" fontId="0" fillId="15" borderId="16" xfId="2" applyFont="1" applyFill="1" applyBorder="1"/>
    <xf numFmtId="44" fontId="2" fillId="15" borderId="2" xfId="0" applyNumberFormat="1" applyFont="1" applyFill="1" applyBorder="1"/>
    <xf numFmtId="164" fontId="0" fillId="15" borderId="19" xfId="2" applyFont="1" applyFill="1" applyBorder="1"/>
    <xf numFmtId="164" fontId="2" fillId="15" borderId="17" xfId="2" applyFont="1" applyFill="1" applyBorder="1"/>
    <xf numFmtId="164" fontId="2" fillId="15" borderId="14" xfId="2" applyFont="1" applyFill="1" applyBorder="1"/>
    <xf numFmtId="164" fontId="2" fillId="15" borderId="3" xfId="2" applyFont="1" applyFill="1" applyBorder="1"/>
    <xf numFmtId="0" fontId="0" fillId="15" borderId="0" xfId="0" applyFill="1"/>
    <xf numFmtId="1" fontId="2" fillId="16" borderId="1" xfId="0" applyNumberFormat="1" applyFont="1" applyFill="1" applyBorder="1"/>
    <xf numFmtId="14" fontId="2" fillId="16" borderId="1" xfId="0" applyNumberFormat="1" applyFont="1" applyFill="1" applyBorder="1" applyAlignment="1">
      <alignment horizontal="left"/>
    </xf>
    <xf numFmtId="0" fontId="2" fillId="16" borderId="1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0" fillId="16" borderId="5" xfId="0" applyFill="1" applyBorder="1"/>
    <xf numFmtId="0" fontId="0" fillId="16" borderId="1" xfId="0" applyFill="1" applyBorder="1"/>
    <xf numFmtId="164" fontId="0" fillId="16" borderId="1" xfId="2" applyFont="1" applyFill="1" applyBorder="1"/>
    <xf numFmtId="164" fontId="3" fillId="16" borderId="1" xfId="2" applyFont="1" applyFill="1" applyBorder="1"/>
    <xf numFmtId="164" fontId="2" fillId="16" borderId="2" xfId="2" applyFont="1" applyFill="1" applyBorder="1" applyAlignment="1">
      <alignment horizontal="center"/>
    </xf>
    <xf numFmtId="0" fontId="0" fillId="16" borderId="16" xfId="0" applyFill="1" applyBorder="1"/>
    <xf numFmtId="164" fontId="2" fillId="16" borderId="2" xfId="2" applyFont="1" applyFill="1" applyBorder="1"/>
    <xf numFmtId="164" fontId="2" fillId="16" borderId="2" xfId="0" applyNumberFormat="1" applyFont="1" applyFill="1" applyBorder="1"/>
    <xf numFmtId="0" fontId="0" fillId="16" borderId="19" xfId="0" applyFill="1" applyBorder="1"/>
    <xf numFmtId="0" fontId="2" fillId="16" borderId="17" xfId="0" applyFont="1" applyFill="1" applyBorder="1"/>
    <xf numFmtId="0" fontId="2" fillId="16" borderId="14" xfId="0" applyFont="1" applyFill="1" applyBorder="1"/>
    <xf numFmtId="0" fontId="2" fillId="16" borderId="3" xfId="0" applyFont="1" applyFill="1" applyBorder="1"/>
    <xf numFmtId="0" fontId="0" fillId="16" borderId="0" xfId="0" applyFill="1"/>
    <xf numFmtId="164" fontId="0" fillId="0" borderId="1" xfId="2" applyFont="1" applyFill="1" applyBorder="1"/>
    <xf numFmtId="164" fontId="3" fillId="0" borderId="1" xfId="2" applyFont="1" applyFill="1" applyBorder="1"/>
    <xf numFmtId="164" fontId="2" fillId="0" borderId="2" xfId="2" applyFont="1" applyFill="1" applyBorder="1"/>
    <xf numFmtId="164" fontId="0" fillId="0" borderId="16" xfId="2" applyFont="1" applyFill="1" applyBorder="1"/>
    <xf numFmtId="164" fontId="0" fillId="0" borderId="19" xfId="2" applyFont="1" applyFill="1" applyBorder="1"/>
    <xf numFmtId="164" fontId="2" fillId="0" borderId="17" xfId="2" applyFont="1" applyFill="1" applyBorder="1"/>
    <xf numFmtId="164" fontId="2" fillId="0" borderId="14" xfId="2" applyFont="1" applyFill="1" applyBorder="1"/>
    <xf numFmtId="164" fontId="2" fillId="0" borderId="3" xfId="2" applyFont="1" applyFill="1" applyBorder="1"/>
    <xf numFmtId="164" fontId="2" fillId="16" borderId="1" xfId="2" applyFont="1" applyFill="1" applyBorder="1"/>
    <xf numFmtId="164" fontId="2" fillId="15" borderId="1" xfId="2" applyFont="1" applyFill="1" applyBorder="1"/>
    <xf numFmtId="164" fontId="2" fillId="0" borderId="1" xfId="2" applyFont="1" applyFill="1" applyBorder="1"/>
    <xf numFmtId="49" fontId="2" fillId="0" borderId="21" xfId="0" applyNumberFormat="1" applyFont="1" applyBorder="1"/>
    <xf numFmtId="0" fontId="0" fillId="0" borderId="22" xfId="0" applyBorder="1"/>
    <xf numFmtId="49" fontId="2" fillId="2" borderId="7" xfId="0" applyNumberFormat="1" applyFont="1" applyFill="1" applyBorder="1"/>
    <xf numFmtId="164" fontId="2" fillId="2" borderId="1" xfId="0" applyNumberFormat="1" applyFont="1" applyFill="1" applyBorder="1"/>
    <xf numFmtId="164" fontId="8" fillId="0" borderId="0" xfId="2" applyFont="1" applyBorder="1"/>
    <xf numFmtId="0" fontId="0" fillId="0" borderId="0" xfId="0" applyAlignment="1">
      <alignment horizontal="left"/>
    </xf>
    <xf numFmtId="0" fontId="10" fillId="11" borderId="0" xfId="0" quotePrefix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609601</xdr:colOff>
      <xdr:row>0</xdr:row>
      <xdr:rowOff>295277</xdr:rowOff>
    </xdr:from>
    <xdr:to>
      <xdr:col>2</xdr:col>
      <xdr:colOff>1552575</xdr:colOff>
      <xdr:row>0</xdr:row>
      <xdr:rowOff>1400175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295277"/>
          <a:ext cx="942974" cy="1104898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ebrant Johan" id="{34F325C4-0379-4F85-BB1C-B11DD4069553}" userId="S::johan.tyrebrant@zeppelin.com::86af494d-4b9a-44ee-a56e-5ec0ba565fd7" providerId="AD"/>
  <person displayName="Johan Tyrebrant" id="{A10EEC86-56C9-48E7-A0FF-2295B6273E66}" userId="S::johan.tyrebrant@avprodukter.com::306c8f2c-8a3c-4192-925f-713ad2c1e6e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9" dT="2020-03-03T18:06:51.21" personId="{A10EEC86-56C9-48E7-A0FF-2295B6273E66}" id="{234FD788-64FF-435C-8172-CDB5547DEF92}">
    <text>Kostnad för kanotställ släp.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2" dT="2020-03-03T18:06:51.21" personId="{A10EEC86-56C9-48E7-A0FF-2295B6273E66}" id="{FF0F5FEF-135E-45AF-A1FC-5F9EF8B39EFF}">
    <text>Kostnad för kanotställ släp.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63" dT="2020-03-03T18:06:51.21" personId="{A10EEC86-56C9-48E7-A0FF-2295B6273E66}" id="{2AEC8C26-F1B7-4D69-9EA7-B19C35C8028E}">
    <text>Kostnad för kanotställ släp.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63" dT="2020-03-03T18:06:51.21" personId="{A10EEC86-56C9-48E7-A0FF-2295B6273E66}" id="{AEEA715F-4342-43EC-9C4E-9C9AAEB3CE8A}">
    <text>Kostnad för kanotställ släp.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64" dT="2020-03-03T18:06:51.21" personId="{A10EEC86-56C9-48E7-A0FF-2295B6273E66}" id="{C15F4343-958D-4764-93E5-8B9D2F5B99CC}">
    <text>Kostnad för kanotställ släp.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65" dT="2020-03-03T18:06:51.21" personId="{A10EEC86-56C9-48E7-A0FF-2295B6273E66}" id="{7F3646F1-1C04-447F-B201-DA386480F49B}">
    <text>Kostnad för kanotställ släp.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14" dT="2026-02-16T17:33:21.56" personId="{34F325C4-0379-4F85-BB1C-B11DD4069553}" id="{E096F97F-1CD9-4A1E-AB71-81C18D6FCDAC}">
    <text xml:space="preserve">Städa Sverige 12000, Valborg 10000
</text>
  </threadedComment>
  <threadedComment ref="B65" dT="2020-03-03T18:06:51.21" personId="{A10EEC86-56C9-48E7-A0FF-2295B6273E66}" id="{178C163D-50B6-4F6E-B076-091FF96D6290}">
    <text>Kostnad för kanotställ släp.</text>
  </threadedComment>
  <threadedComment ref="B106" dT="2026-02-16T18:30:22.42" personId="{34F325C4-0379-4F85-BB1C-B11DD4069553}" id="{85F87F72-4D0F-4046-845F-B2ADD9895BAC}">
    <text>Slutföra kanotförrådet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5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I129"/>
  <sheetViews>
    <sheetView topLeftCell="A4" workbookViewId="0">
      <selection activeCell="C120" sqref="C120"/>
    </sheetView>
  </sheetViews>
  <sheetFormatPr defaultRowHeight="15" x14ac:dyDescent="0.25"/>
  <cols>
    <col min="1" max="1" width="7.85546875" customWidth="1"/>
    <col min="2" max="2" width="31.42578125" customWidth="1"/>
    <col min="3" max="3" width="18" customWidth="1"/>
    <col min="4" max="5" width="19" customWidth="1"/>
    <col min="6" max="6" width="15.7109375" customWidth="1"/>
    <col min="7" max="8" width="14.28515625" customWidth="1"/>
    <col min="9" max="9" width="13.7109375" style="4" customWidth="1"/>
    <col min="10" max="10" width="20.7109375" bestFit="1" customWidth="1"/>
    <col min="11" max="11" width="16" customWidth="1"/>
    <col min="12" max="12" width="12.7109375" customWidth="1"/>
    <col min="13" max="13" width="32.7109375" bestFit="1" customWidth="1"/>
    <col min="14" max="14" width="11.7109375" bestFit="1" customWidth="1"/>
  </cols>
  <sheetData>
    <row r="1" spans="1:9" x14ac:dyDescent="0.25">
      <c r="A1" s="9"/>
      <c r="B1" s="47" t="s">
        <v>0</v>
      </c>
      <c r="C1" s="47" t="s">
        <v>1</v>
      </c>
      <c r="D1" s="47"/>
      <c r="E1" s="47"/>
      <c r="F1" s="194"/>
      <c r="G1" s="47"/>
      <c r="H1" s="47"/>
      <c r="I1" s="10"/>
    </row>
    <row r="2" spans="1:9" x14ac:dyDescent="0.25">
      <c r="A2" s="9"/>
      <c r="B2" s="87"/>
      <c r="C2" s="87" t="s">
        <v>2</v>
      </c>
      <c r="D2" s="87"/>
      <c r="E2" s="199" t="s">
        <v>3</v>
      </c>
      <c r="F2" s="195"/>
      <c r="G2" s="87"/>
      <c r="H2" s="7"/>
      <c r="I2" s="10"/>
    </row>
    <row r="3" spans="1:9" x14ac:dyDescent="0.25">
      <c r="A3" s="6"/>
      <c r="B3" s="6"/>
      <c r="C3" s="200">
        <v>2017</v>
      </c>
      <c r="D3" s="173">
        <v>2016</v>
      </c>
      <c r="E3" s="58">
        <v>2016</v>
      </c>
      <c r="F3" s="58">
        <v>2015</v>
      </c>
      <c r="G3" s="58">
        <v>2014</v>
      </c>
      <c r="H3" s="121">
        <v>2013</v>
      </c>
      <c r="I3" s="58">
        <v>2012</v>
      </c>
    </row>
    <row r="4" spans="1:9" ht="15.75" thickBot="1" x14ac:dyDescent="0.3">
      <c r="A4" s="16"/>
      <c r="B4" s="16"/>
      <c r="C4" s="201" t="s">
        <v>4</v>
      </c>
      <c r="D4" s="174" t="s">
        <v>4</v>
      </c>
      <c r="E4" s="59" t="s">
        <v>5</v>
      </c>
      <c r="F4" s="59" t="s">
        <v>5</v>
      </c>
      <c r="G4" s="59" t="s">
        <v>5</v>
      </c>
      <c r="H4" s="122" t="s">
        <v>5</v>
      </c>
      <c r="I4" s="60" t="s">
        <v>5</v>
      </c>
    </row>
    <row r="5" spans="1:9" x14ac:dyDescent="0.25">
      <c r="A5" s="19"/>
      <c r="B5" s="20"/>
      <c r="C5" s="202"/>
      <c r="D5" s="175"/>
      <c r="E5" s="20"/>
      <c r="F5" s="20"/>
      <c r="G5" s="20"/>
      <c r="H5" s="123"/>
      <c r="I5" s="30"/>
    </row>
    <row r="6" spans="1:9" x14ac:dyDescent="0.25">
      <c r="A6" s="22" t="str">
        <f>"Rörelsens intäkter och lagerförändring"</f>
        <v>Rörelsens intäkter och lagerförändring</v>
      </c>
      <c r="B6" s="6"/>
      <c r="C6" s="203"/>
      <c r="D6" s="176"/>
      <c r="E6" s="6"/>
      <c r="F6" s="6"/>
      <c r="G6" s="6"/>
      <c r="H6" s="124"/>
      <c r="I6" s="10"/>
    </row>
    <row r="7" spans="1:9" x14ac:dyDescent="0.25">
      <c r="A7" s="22" t="str">
        <f>"Nettoomsättning"</f>
        <v>Nettoomsättning</v>
      </c>
      <c r="B7" s="6"/>
      <c r="C7" s="203"/>
      <c r="D7" s="176"/>
      <c r="E7" s="6"/>
      <c r="F7" s="6"/>
      <c r="G7" s="6"/>
      <c r="H7" s="124"/>
      <c r="I7" s="10"/>
    </row>
    <row r="8" spans="1:9" x14ac:dyDescent="0.25">
      <c r="A8" s="186" t="str">
        <f>"3110"</f>
        <v>3110</v>
      </c>
      <c r="B8" s="5" t="str">
        <f>"Medlemsavgifter"</f>
        <v>Medlemsavgifter</v>
      </c>
      <c r="C8" s="210">
        <v>90000</v>
      </c>
      <c r="D8" s="177">
        <v>92000</v>
      </c>
      <c r="E8" s="188">
        <v>94050</v>
      </c>
      <c r="F8" s="165">
        <v>92225</v>
      </c>
      <c r="G8" s="153">
        <v>91000</v>
      </c>
      <c r="H8" s="125">
        <v>83650</v>
      </c>
      <c r="I8" s="10">
        <v>72350</v>
      </c>
    </row>
    <row r="9" spans="1:9" x14ac:dyDescent="0.25">
      <c r="A9" s="186" t="str">
        <f>"3120"</f>
        <v>3120</v>
      </c>
      <c r="B9" s="5" t="str">
        <f>"Intäkter kanothyra"</f>
        <v>Intäkter kanothyra</v>
      </c>
      <c r="C9" s="210">
        <v>15000</v>
      </c>
      <c r="D9" s="177">
        <v>13000</v>
      </c>
      <c r="E9" s="188">
        <v>15440</v>
      </c>
      <c r="F9" s="165">
        <v>13125</v>
      </c>
      <c r="G9" s="153">
        <v>17450</v>
      </c>
      <c r="H9" s="125">
        <v>13450</v>
      </c>
      <c r="I9" s="10">
        <v>13000</v>
      </c>
    </row>
    <row r="10" spans="1:9" x14ac:dyDescent="0.25">
      <c r="A10" s="186" t="str">
        <f>"3130"</f>
        <v>3130</v>
      </c>
      <c r="B10" s="5" t="str">
        <f>"Intäkter kanotplats"</f>
        <v>Intäkter kanotplats</v>
      </c>
      <c r="C10" s="210">
        <v>24000</v>
      </c>
      <c r="D10" s="177">
        <v>23000</v>
      </c>
      <c r="E10" s="188">
        <v>24625</v>
      </c>
      <c r="F10" s="165">
        <v>23375</v>
      </c>
      <c r="G10" s="153">
        <v>17713</v>
      </c>
      <c r="H10" s="125">
        <v>18175</v>
      </c>
      <c r="I10" s="10">
        <v>15750</v>
      </c>
    </row>
    <row r="11" spans="1:9" x14ac:dyDescent="0.25">
      <c r="A11" s="186" t="str">
        <f>"3140"</f>
        <v>3140</v>
      </c>
      <c r="B11" s="5" t="str">
        <f>"Intäkter kanotskola"</f>
        <v>Intäkter kanotskola</v>
      </c>
      <c r="C11" s="210">
        <v>20000</v>
      </c>
      <c r="D11" s="177">
        <v>26000</v>
      </c>
      <c r="E11" s="188">
        <v>17550</v>
      </c>
      <c r="F11" s="165">
        <v>25525</v>
      </c>
      <c r="G11" s="153">
        <v>35750</v>
      </c>
      <c r="H11" s="125">
        <v>24535</v>
      </c>
      <c r="I11" s="10">
        <v>24050</v>
      </c>
    </row>
    <row r="12" spans="1:9" x14ac:dyDescent="0.25">
      <c r="A12" s="186" t="str">
        <f>"3142"</f>
        <v>3142</v>
      </c>
      <c r="B12" s="5" t="str">
        <f>"Prova-på-paddling"</f>
        <v>Prova-på-paddling</v>
      </c>
      <c r="C12" s="210">
        <v>12000</v>
      </c>
      <c r="D12" s="177">
        <v>12000</v>
      </c>
      <c r="E12" s="188">
        <v>13600</v>
      </c>
      <c r="F12" s="165">
        <v>12400</v>
      </c>
      <c r="G12" s="153">
        <v>18000</v>
      </c>
      <c r="H12" s="125">
        <v>7200</v>
      </c>
      <c r="I12" s="10">
        <v>3200</v>
      </c>
    </row>
    <row r="13" spans="1:9" x14ac:dyDescent="0.25">
      <c r="A13" s="186" t="s">
        <v>6</v>
      </c>
      <c r="B13" s="5" t="s">
        <v>7</v>
      </c>
      <c r="C13" s="210">
        <v>10000</v>
      </c>
      <c r="D13" s="177">
        <v>5000</v>
      </c>
      <c r="E13" s="188">
        <v>16200</v>
      </c>
      <c r="F13" s="165">
        <v>6000</v>
      </c>
      <c r="G13" s="153">
        <v>3100</v>
      </c>
      <c r="H13" s="125">
        <v>7600</v>
      </c>
      <c r="I13" s="10"/>
    </row>
    <row r="14" spans="1:9" x14ac:dyDescent="0.25">
      <c r="A14" s="186" t="str">
        <f>"3150"</f>
        <v>3150</v>
      </c>
      <c r="B14" s="5" t="s">
        <v>8</v>
      </c>
      <c r="C14" s="210"/>
      <c r="D14" s="177">
        <v>0</v>
      </c>
      <c r="E14" s="188"/>
      <c r="F14" s="165"/>
      <c r="G14" s="153">
        <v>12000</v>
      </c>
      <c r="H14" s="125">
        <v>12000</v>
      </c>
      <c r="I14" s="10">
        <v>12000</v>
      </c>
    </row>
    <row r="15" spans="1:9" x14ac:dyDescent="0.25">
      <c r="A15" s="186" t="str">
        <f>"3210"</f>
        <v>3210</v>
      </c>
      <c r="B15" s="44" t="str">
        <f>"Intäkter tävling/transport"</f>
        <v>Intäkter tävling/transport</v>
      </c>
      <c r="C15" s="211"/>
      <c r="D15" s="178"/>
      <c r="E15" s="196"/>
      <c r="F15" s="166"/>
      <c r="G15" s="153"/>
      <c r="H15" s="126"/>
      <c r="I15" s="10"/>
    </row>
    <row r="16" spans="1:9" x14ac:dyDescent="0.25">
      <c r="A16" s="186" t="str">
        <f>"3211"</f>
        <v>3211</v>
      </c>
      <c r="B16" s="5" t="str">
        <f>"Anmälningsavgifter"</f>
        <v>Anmälningsavgifter</v>
      </c>
      <c r="C16" s="210">
        <v>8000</v>
      </c>
      <c r="D16" s="177">
        <v>6000</v>
      </c>
      <c r="E16" s="188">
        <v>7800</v>
      </c>
      <c r="F16" s="165">
        <v>6400</v>
      </c>
      <c r="G16" s="153">
        <v>12000</v>
      </c>
      <c r="H16" s="125">
        <v>13120</v>
      </c>
      <c r="I16" s="10">
        <v>9500</v>
      </c>
    </row>
    <row r="17" spans="1:12" x14ac:dyDescent="0.25">
      <c r="A17" s="186" t="str">
        <f>"3212"</f>
        <v>3212</v>
      </c>
      <c r="B17" s="5" t="str">
        <f>"Transportavgift"</f>
        <v>Transportavgift</v>
      </c>
      <c r="C17" s="210">
        <v>1000</v>
      </c>
      <c r="D17" s="177">
        <v>1000</v>
      </c>
      <c r="E17" s="188"/>
      <c r="F17" s="165">
        <v>400</v>
      </c>
      <c r="G17" s="153">
        <v>100</v>
      </c>
      <c r="H17" s="125">
        <v>1800</v>
      </c>
      <c r="I17" s="10">
        <v>600</v>
      </c>
    </row>
    <row r="18" spans="1:12" x14ac:dyDescent="0.25">
      <c r="A18" s="186" t="str">
        <f>"3213"</f>
        <v>3213</v>
      </c>
      <c r="B18" s="5" t="str">
        <f>"Kost och logi under tävlingar"</f>
        <v>Kost och logi under tävlingar</v>
      </c>
      <c r="C18" s="210">
        <v>8000</v>
      </c>
      <c r="D18" s="177"/>
      <c r="E18" s="188">
        <v>7635</v>
      </c>
      <c r="F18" s="165">
        <v>5390</v>
      </c>
      <c r="G18" s="153">
        <v>12555</v>
      </c>
      <c r="H18" s="125">
        <v>2400</v>
      </c>
      <c r="I18" s="10">
        <v>11950</v>
      </c>
    </row>
    <row r="19" spans="1:12" x14ac:dyDescent="0.25">
      <c r="A19" s="186">
        <v>3214</v>
      </c>
      <c r="B19" s="6" t="s">
        <v>9</v>
      </c>
      <c r="C19" s="210"/>
      <c r="D19" s="177"/>
      <c r="E19" s="188"/>
      <c r="F19" s="165"/>
      <c r="G19" s="153"/>
      <c r="H19" s="125"/>
      <c r="I19" s="10"/>
    </row>
    <row r="20" spans="1:12" x14ac:dyDescent="0.25">
      <c r="A20" s="186"/>
      <c r="B20" s="44"/>
      <c r="C20" s="211"/>
      <c r="D20" s="178"/>
      <c r="E20" s="196"/>
      <c r="F20" s="166"/>
      <c r="G20" s="153"/>
      <c r="H20" s="126"/>
      <c r="I20" s="10"/>
    </row>
    <row r="21" spans="1:12" x14ac:dyDescent="0.25">
      <c r="A21" s="186" t="str">
        <f>"3221"</f>
        <v>3221</v>
      </c>
      <c r="B21" s="5" t="s">
        <v>10</v>
      </c>
      <c r="C21" s="210">
        <v>10000</v>
      </c>
      <c r="D21" s="177">
        <v>8000</v>
      </c>
      <c r="E21" s="188">
        <v>9850</v>
      </c>
      <c r="F21" s="165">
        <v>8200</v>
      </c>
      <c r="G21" s="153">
        <v>5450</v>
      </c>
      <c r="H21" s="125">
        <v>1650</v>
      </c>
      <c r="I21" s="10">
        <v>5800</v>
      </c>
    </row>
    <row r="22" spans="1:12" x14ac:dyDescent="0.25">
      <c r="A22" s="186" t="s">
        <v>11</v>
      </c>
      <c r="B22" s="5" t="s">
        <v>12</v>
      </c>
      <c r="C22" s="210"/>
      <c r="D22" s="177"/>
      <c r="E22" s="188"/>
      <c r="F22" s="165"/>
      <c r="G22" s="153"/>
      <c r="H22" s="125"/>
      <c r="I22" s="10"/>
    </row>
    <row r="23" spans="1:12" x14ac:dyDescent="0.25">
      <c r="A23" s="186" t="str">
        <f>"3223"</f>
        <v>3223</v>
      </c>
      <c r="B23" s="5" t="str">
        <f>"Intäkter SM läger"</f>
        <v>Intäkter SM läger</v>
      </c>
      <c r="C23" s="210">
        <v>18000</v>
      </c>
      <c r="D23" s="177">
        <v>18000</v>
      </c>
      <c r="E23" s="188">
        <v>17100</v>
      </c>
      <c r="F23" s="165">
        <v>18000</v>
      </c>
      <c r="G23" s="153">
        <v>7500</v>
      </c>
      <c r="H23" s="125">
        <v>8400</v>
      </c>
      <c r="I23" s="10">
        <v>11200</v>
      </c>
    </row>
    <row r="24" spans="1:12" x14ac:dyDescent="0.25">
      <c r="A24" s="186" t="s">
        <v>13</v>
      </c>
      <c r="B24" s="5" t="s">
        <v>14</v>
      </c>
      <c r="C24" s="210">
        <v>12000</v>
      </c>
      <c r="D24" s="177">
        <v>10000</v>
      </c>
      <c r="E24" s="188"/>
      <c r="F24" s="165">
        <v>5434</v>
      </c>
      <c r="G24" s="153">
        <v>11030</v>
      </c>
      <c r="H24" s="125">
        <v>13415.5</v>
      </c>
      <c r="I24" s="10">
        <v>6734</v>
      </c>
    </row>
    <row r="25" spans="1:12" x14ac:dyDescent="0.25">
      <c r="A25" s="186" t="str">
        <f>"3310"</f>
        <v>3310</v>
      </c>
      <c r="B25" s="5" t="str">
        <f>"Bingolotto"</f>
        <v>Bingolotto</v>
      </c>
      <c r="C25" s="210">
        <v>800</v>
      </c>
      <c r="D25" s="177">
        <v>1000</v>
      </c>
      <c r="E25" s="188">
        <v>910</v>
      </c>
      <c r="F25" s="165">
        <v>1092</v>
      </c>
      <c r="G25" s="153">
        <v>3943</v>
      </c>
      <c r="H25" s="125">
        <v>2388</v>
      </c>
      <c r="I25" s="10">
        <v>1404</v>
      </c>
    </row>
    <row r="26" spans="1:12" x14ac:dyDescent="0.25">
      <c r="A26" s="186" t="str">
        <f>"3320"</f>
        <v>3320</v>
      </c>
      <c r="B26" s="5" t="str">
        <f>"Övrig lotteriverksamhet"</f>
        <v>Övrig lotteriverksamhet</v>
      </c>
      <c r="C26" s="210"/>
      <c r="D26" s="177"/>
      <c r="E26" s="188"/>
      <c r="F26" s="165">
        <v>1787</v>
      </c>
      <c r="G26" s="153"/>
      <c r="H26" s="125"/>
      <c r="I26" s="10">
        <v>1430</v>
      </c>
    </row>
    <row r="27" spans="1:12" x14ac:dyDescent="0.25">
      <c r="A27" s="186" t="s">
        <v>15</v>
      </c>
      <c r="B27" s="5" t="s">
        <v>16</v>
      </c>
      <c r="C27" s="210"/>
      <c r="D27" s="177"/>
      <c r="E27" s="188"/>
      <c r="F27" s="165"/>
      <c r="G27" s="153"/>
      <c r="H27" s="125"/>
      <c r="I27" s="10"/>
    </row>
    <row r="28" spans="1:12" x14ac:dyDescent="0.25">
      <c r="A28" s="186" t="str">
        <f>"3420"</f>
        <v>3420</v>
      </c>
      <c r="B28" s="5" t="str">
        <f>"Intäkter Sponsorer"</f>
        <v>Intäkter Sponsorer</v>
      </c>
      <c r="C28" s="210">
        <v>40000</v>
      </c>
      <c r="D28" s="177">
        <v>40000</v>
      </c>
      <c r="E28" s="188">
        <v>37000</v>
      </c>
      <c r="F28" s="165">
        <v>54000</v>
      </c>
      <c r="G28" s="153">
        <v>62570</v>
      </c>
      <c r="H28" s="125">
        <v>41400</v>
      </c>
      <c r="I28" s="10">
        <v>87700</v>
      </c>
      <c r="K28" s="4"/>
      <c r="L28" s="4"/>
    </row>
    <row r="29" spans="1:12" x14ac:dyDescent="0.25">
      <c r="A29" s="186" t="str">
        <f>"3421"</f>
        <v>3421</v>
      </c>
      <c r="B29" s="5" t="s">
        <v>17</v>
      </c>
      <c r="C29" s="210">
        <v>30000</v>
      </c>
      <c r="D29" s="177">
        <v>30000</v>
      </c>
      <c r="E29" s="188">
        <v>93000</v>
      </c>
      <c r="F29" s="165">
        <v>28000</v>
      </c>
      <c r="G29" s="153">
        <v>73000</v>
      </c>
      <c r="H29" s="125">
        <v>28000</v>
      </c>
      <c r="I29" s="10">
        <v>20000</v>
      </c>
    </row>
    <row r="30" spans="1:12" x14ac:dyDescent="0.25">
      <c r="A30" s="186" t="s">
        <v>18</v>
      </c>
      <c r="B30" s="5" t="s">
        <v>19</v>
      </c>
      <c r="C30" s="210"/>
      <c r="D30" s="177"/>
      <c r="E30" s="188">
        <v>27000</v>
      </c>
      <c r="F30" s="165">
        <v>28775.33</v>
      </c>
      <c r="G30" s="153">
        <v>26179</v>
      </c>
      <c r="H30" s="125">
        <v>50350</v>
      </c>
      <c r="I30" s="10">
        <v>35000</v>
      </c>
    </row>
    <row r="31" spans="1:12" x14ac:dyDescent="0.25">
      <c r="A31" s="186" t="str">
        <f>"3430"</f>
        <v>3430</v>
      </c>
      <c r="B31" s="5" t="str">
        <f>"Intäkter föräldrarföreningen"</f>
        <v>Intäkter föräldrarföreningen</v>
      </c>
      <c r="C31" s="210"/>
      <c r="D31" s="177"/>
      <c r="E31" s="188"/>
      <c r="F31" s="165"/>
      <c r="G31" s="153"/>
      <c r="H31" s="127"/>
      <c r="I31" s="10">
        <v>15000</v>
      </c>
    </row>
    <row r="32" spans="1:12" x14ac:dyDescent="0.25">
      <c r="A32" s="186" t="str">
        <f>"3520"</f>
        <v>3520</v>
      </c>
      <c r="B32" s="5" t="str">
        <f>"Intäkter Kanotförsäkring"</f>
        <v>Intäkter Kanotförsäkring</v>
      </c>
      <c r="C32" s="210">
        <v>2000</v>
      </c>
      <c r="D32" s="177">
        <v>3500</v>
      </c>
      <c r="E32" s="188">
        <v>430</v>
      </c>
      <c r="F32" s="165">
        <v>2100</v>
      </c>
      <c r="G32" s="153">
        <v>3458</v>
      </c>
      <c r="H32" s="127">
        <v>3830</v>
      </c>
      <c r="I32" s="10">
        <v>5976</v>
      </c>
    </row>
    <row r="33" spans="1:13" x14ac:dyDescent="0.25">
      <c r="A33" s="186" t="s">
        <v>20</v>
      </c>
      <c r="B33" s="5" t="s">
        <v>21</v>
      </c>
      <c r="C33" s="210"/>
      <c r="D33" s="177"/>
      <c r="E33" s="188"/>
      <c r="F33" s="165"/>
      <c r="G33" s="153">
        <v>61624</v>
      </c>
      <c r="H33" s="127"/>
      <c r="I33" s="10"/>
    </row>
    <row r="34" spans="1:13" x14ac:dyDescent="0.25">
      <c r="A34" s="186" t="str">
        <f>"3710"</f>
        <v>3710</v>
      </c>
      <c r="B34" s="5" t="str">
        <f>"Kommunala bidrag"</f>
        <v>Kommunala bidrag</v>
      </c>
      <c r="C34" s="210">
        <v>50000</v>
      </c>
      <c r="D34" s="177">
        <v>54000</v>
      </c>
      <c r="E34" s="188">
        <v>51130</v>
      </c>
      <c r="F34" s="165">
        <v>54852</v>
      </c>
      <c r="G34" s="153">
        <v>52860</v>
      </c>
      <c r="H34" s="127">
        <v>51090</v>
      </c>
      <c r="I34" s="10">
        <v>62752</v>
      </c>
    </row>
    <row r="35" spans="1:13" x14ac:dyDescent="0.25">
      <c r="A35" s="186" t="str">
        <f>"3730"</f>
        <v>3730</v>
      </c>
      <c r="B35" s="5" t="str">
        <f>"LOK-stöd Riksidrottsförbundet"</f>
        <v>LOK-stöd Riksidrottsförbundet</v>
      </c>
      <c r="C35" s="210">
        <v>40000</v>
      </c>
      <c r="D35" s="177">
        <v>36000</v>
      </c>
      <c r="E35" s="188">
        <v>40408</v>
      </c>
      <c r="F35" s="165">
        <v>36836</v>
      </c>
      <c r="G35" s="153">
        <v>33824</v>
      </c>
      <c r="H35" s="127">
        <v>39430</v>
      </c>
      <c r="I35" s="10">
        <v>37396</v>
      </c>
    </row>
    <row r="36" spans="1:13" x14ac:dyDescent="0.25">
      <c r="A36" s="186" t="s">
        <v>22</v>
      </c>
      <c r="B36" s="5" t="s">
        <v>23</v>
      </c>
      <c r="C36" s="210"/>
      <c r="D36" s="177"/>
      <c r="E36" s="188"/>
      <c r="F36" s="165"/>
      <c r="G36" s="153"/>
      <c r="H36" s="127"/>
      <c r="I36" s="10"/>
    </row>
    <row r="37" spans="1:13" x14ac:dyDescent="0.25">
      <c r="A37" s="186" t="str">
        <f>"3790"</f>
        <v>3790</v>
      </c>
      <c r="B37" s="5" t="s">
        <v>24</v>
      </c>
      <c r="C37" s="210"/>
      <c r="D37" s="177"/>
      <c r="E37" s="188"/>
      <c r="F37" s="165"/>
      <c r="G37" s="153"/>
      <c r="H37" s="127"/>
      <c r="I37" s="10">
        <v>6500</v>
      </c>
      <c r="M37" s="4"/>
    </row>
    <row r="38" spans="1:13" x14ac:dyDescent="0.25">
      <c r="A38" s="26"/>
      <c r="B38" s="6"/>
      <c r="C38" s="210"/>
      <c r="D38" s="177"/>
      <c r="E38" s="188"/>
      <c r="F38" s="165"/>
      <c r="G38" s="153"/>
      <c r="H38" s="127"/>
      <c r="I38" s="10"/>
    </row>
    <row r="39" spans="1:13" s="1" customFormat="1" ht="15.75" thickBot="1" x14ac:dyDescent="0.3">
      <c r="A39" s="27" t="str">
        <f>"S:a Nettoomsättning"</f>
        <v>S:a Nettoomsättning</v>
      </c>
      <c r="B39" s="14"/>
      <c r="C39" s="209">
        <f>SUM(C8:C37)</f>
        <v>390800</v>
      </c>
      <c r="D39" s="179">
        <f>SUM(D8:D38)</f>
        <v>378500</v>
      </c>
      <c r="E39" s="189">
        <f>SUM(E8:E38)</f>
        <v>473728</v>
      </c>
      <c r="F39" s="167">
        <f>SUM(F8:F37)</f>
        <v>423916.33</v>
      </c>
      <c r="G39" s="154">
        <f>SUM(G8:G37)</f>
        <v>561106</v>
      </c>
      <c r="H39" s="119">
        <f>SUM(H8:H37)</f>
        <v>423883.5</v>
      </c>
      <c r="I39" s="28">
        <f>SUM(I8:I38)</f>
        <v>459292</v>
      </c>
      <c r="M39" s="120"/>
    </row>
    <row r="40" spans="1:13" x14ac:dyDescent="0.25">
      <c r="A40" s="19"/>
      <c r="B40" s="20"/>
      <c r="C40" s="205"/>
      <c r="D40" s="180"/>
      <c r="E40" s="190"/>
      <c r="F40" s="168"/>
      <c r="G40" s="155"/>
      <c r="H40" s="128"/>
      <c r="I40" s="30"/>
    </row>
    <row r="41" spans="1:13" x14ac:dyDescent="0.25">
      <c r="A41" s="22" t="str">
        <f>"Aktiverat arbete för egen räkning"</f>
        <v>Aktiverat arbete för egen räkning</v>
      </c>
      <c r="B41" s="6"/>
      <c r="C41" s="203"/>
      <c r="D41" s="177"/>
      <c r="E41" s="188"/>
      <c r="F41" s="6"/>
      <c r="G41" s="153"/>
      <c r="H41" s="129"/>
      <c r="I41" s="10"/>
    </row>
    <row r="42" spans="1:13" x14ac:dyDescent="0.25">
      <c r="A42" s="186" t="s">
        <v>25</v>
      </c>
      <c r="B42" s="6" t="s">
        <v>26</v>
      </c>
      <c r="C42" s="210"/>
      <c r="D42" s="177"/>
      <c r="E42" s="188"/>
      <c r="F42" s="153"/>
      <c r="G42" s="153"/>
      <c r="H42" s="127">
        <v>0</v>
      </c>
      <c r="I42" s="10"/>
    </row>
    <row r="43" spans="1:13" x14ac:dyDescent="0.25">
      <c r="A43" s="186" t="str">
        <f>"3813"</f>
        <v>3813</v>
      </c>
      <c r="B43" s="5" t="s">
        <v>27</v>
      </c>
      <c r="C43" s="210"/>
      <c r="D43" s="177">
        <v>0</v>
      </c>
      <c r="E43" s="188">
        <v>2000</v>
      </c>
      <c r="F43" s="153">
        <v>1000</v>
      </c>
      <c r="G43" s="153">
        <v>3350</v>
      </c>
      <c r="H43" s="127">
        <v>0</v>
      </c>
      <c r="I43" s="10">
        <v>2000</v>
      </c>
    </row>
    <row r="44" spans="1:13" x14ac:dyDescent="0.25">
      <c r="A44" s="187"/>
      <c r="B44" s="6"/>
      <c r="C44" s="210"/>
      <c r="D44" s="177"/>
      <c r="E44" s="188"/>
      <c r="F44" s="6"/>
      <c r="G44" s="153"/>
      <c r="H44" s="129"/>
      <c r="I44" s="10"/>
    </row>
    <row r="45" spans="1:13" s="1" customFormat="1" ht="15.75" thickBot="1" x14ac:dyDescent="0.3">
      <c r="A45" s="27" t="str">
        <f>"S:a Aktiverat arbete för egen räkning"</f>
        <v>S:a Aktiverat arbete för egen räkning</v>
      </c>
      <c r="B45" s="14"/>
      <c r="C45" s="212">
        <f>SUM(C42:C43)</f>
        <v>0</v>
      </c>
      <c r="D45" s="179">
        <f>SUM(D42:D44)</f>
        <v>0</v>
      </c>
      <c r="E45" s="189">
        <f>SUM(E42:E44)</f>
        <v>2000</v>
      </c>
      <c r="F45" s="109">
        <f>SUM(F42:F43)</f>
        <v>1000</v>
      </c>
      <c r="G45" s="109">
        <f>SUM(G42:G43)</f>
        <v>3350</v>
      </c>
      <c r="H45" s="119">
        <f>SUM(H42:H44)</f>
        <v>0</v>
      </c>
      <c r="I45" s="28">
        <f>SUM(I42:I44)</f>
        <v>2000</v>
      </c>
    </row>
    <row r="46" spans="1:13" x14ac:dyDescent="0.25">
      <c r="A46" s="19"/>
      <c r="B46" s="20"/>
      <c r="C46" s="205"/>
      <c r="D46" s="180"/>
      <c r="E46" s="190"/>
      <c r="F46" s="168"/>
      <c r="G46" s="155"/>
      <c r="H46" s="128"/>
      <c r="I46" s="30"/>
    </row>
    <row r="47" spans="1:13" x14ac:dyDescent="0.25">
      <c r="A47" s="22" t="str">
        <f>"Övriga rörelseintäkter"</f>
        <v>Övriga rörelseintäkter</v>
      </c>
      <c r="B47" s="6"/>
      <c r="C47" s="203"/>
      <c r="D47" s="177"/>
      <c r="E47" s="188"/>
      <c r="F47" s="6"/>
      <c r="G47" s="153"/>
      <c r="H47" s="129"/>
      <c r="I47" s="10"/>
    </row>
    <row r="48" spans="1:13" x14ac:dyDescent="0.25">
      <c r="A48" s="186" t="str">
        <f>"3990"</f>
        <v>3990</v>
      </c>
      <c r="B48" s="5" t="str">
        <f>"Övr ersättn och intäkter"</f>
        <v>Övr ersättn och intäkter</v>
      </c>
      <c r="C48" s="210"/>
      <c r="D48" s="177"/>
      <c r="E48" s="188"/>
      <c r="F48" s="169">
        <v>11103</v>
      </c>
      <c r="G48" s="153"/>
      <c r="H48" s="127"/>
      <c r="I48" s="10">
        <v>5500</v>
      </c>
    </row>
    <row r="49" spans="1:61" x14ac:dyDescent="0.25">
      <c r="A49" s="186" t="str">
        <f>"3991"</f>
        <v>3991</v>
      </c>
      <c r="B49" s="5" t="str">
        <f>"Team Porto"</f>
        <v>Team Porto</v>
      </c>
      <c r="C49" s="210"/>
      <c r="D49" s="177"/>
      <c r="E49" s="188"/>
      <c r="F49" s="169"/>
      <c r="G49" s="153"/>
      <c r="H49" s="127"/>
      <c r="I49" s="10">
        <v>0</v>
      </c>
    </row>
    <row r="50" spans="1:61" x14ac:dyDescent="0.25">
      <c r="A50" s="186" t="str">
        <f>"3992"</f>
        <v>3992</v>
      </c>
      <c r="B50" s="5" t="s">
        <v>28</v>
      </c>
      <c r="C50" s="210"/>
      <c r="D50" s="177"/>
      <c r="E50" s="188"/>
      <c r="F50" s="169"/>
      <c r="G50" s="153"/>
      <c r="H50" s="127"/>
      <c r="I50" s="10">
        <v>6160</v>
      </c>
    </row>
    <row r="51" spans="1:61" x14ac:dyDescent="0.25">
      <c r="A51" s="187">
        <v>3680</v>
      </c>
      <c r="B51" s="6" t="s">
        <v>29</v>
      </c>
      <c r="C51" s="210"/>
      <c r="D51" s="177"/>
      <c r="E51" s="188"/>
      <c r="F51" s="169"/>
      <c r="G51" s="153"/>
      <c r="H51" s="129"/>
      <c r="I51" s="10"/>
    </row>
    <row r="52" spans="1:61" s="1" customFormat="1" ht="15.75" thickBot="1" x14ac:dyDescent="0.3">
      <c r="A52" s="27" t="str">
        <f>"S:a Övriga rörelseintäkter"</f>
        <v>S:a Övriga rörelseintäkter</v>
      </c>
      <c r="B52" s="14"/>
      <c r="C52" s="212">
        <f>SUM(C48:C51)</f>
        <v>0</v>
      </c>
      <c r="D52" s="179">
        <f>SUM(D48:D51)</f>
        <v>0</v>
      </c>
      <c r="E52" s="189">
        <f>SUM(E48:E51)</f>
        <v>0</v>
      </c>
      <c r="F52" s="170">
        <f>SUM(F48:F51)</f>
        <v>11103</v>
      </c>
      <c r="G52" s="109">
        <f>SUM(G48:G51)</f>
        <v>0</v>
      </c>
      <c r="H52" s="119">
        <f t="shared" ref="H52:I52" si="0">SUM(H48:H51)</f>
        <v>0</v>
      </c>
      <c r="I52" s="28">
        <f t="shared" si="0"/>
        <v>11660</v>
      </c>
    </row>
    <row r="53" spans="1:61" x14ac:dyDescent="0.25">
      <c r="A53" s="19"/>
      <c r="B53" s="20"/>
      <c r="C53" s="205"/>
      <c r="D53" s="180"/>
      <c r="E53" s="190"/>
      <c r="F53" s="168"/>
      <c r="G53" s="155"/>
      <c r="H53" s="128"/>
      <c r="I53" s="30"/>
    </row>
    <row r="54" spans="1:61" x14ac:dyDescent="0.25">
      <c r="A54" s="26"/>
      <c r="B54" s="6"/>
      <c r="C54" s="203"/>
      <c r="D54" s="177"/>
      <c r="E54" s="188"/>
      <c r="F54" s="6"/>
      <c r="G54" s="153"/>
      <c r="H54" s="129"/>
      <c r="I54" s="10"/>
    </row>
    <row r="55" spans="1:61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47">
        <f>C39+C45+C52</f>
        <v>390800</v>
      </c>
      <c r="D55" s="163">
        <f>D39+D45+D52</f>
        <v>378500</v>
      </c>
      <c r="E55" s="163">
        <f>E39+E45+E52</f>
        <v>475728</v>
      </c>
      <c r="F55" s="147">
        <f>F39+F45+F52</f>
        <v>436019.33</v>
      </c>
      <c r="G55" s="112">
        <f>G39+G45+G52</f>
        <v>564456</v>
      </c>
      <c r="H55" s="111">
        <f t="shared" ref="H55:I55" si="1">H39+H45+H52</f>
        <v>423883.5</v>
      </c>
      <c r="I55" s="34">
        <f t="shared" si="1"/>
        <v>472952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5">
      <c r="A56" s="19"/>
      <c r="B56" s="20"/>
      <c r="C56" s="205"/>
      <c r="D56" s="180"/>
      <c r="E56" s="190"/>
      <c r="F56" s="168"/>
      <c r="G56" s="155"/>
      <c r="H56" s="128"/>
      <c r="I56" s="30"/>
    </row>
    <row r="57" spans="1:61" x14ac:dyDescent="0.25">
      <c r="A57" s="22" t="str">
        <f>"Rörelsens kostnader"</f>
        <v>Rörelsens kostnader</v>
      </c>
      <c r="B57" s="6"/>
      <c r="C57" s="203"/>
      <c r="D57" s="177"/>
      <c r="E57" s="188"/>
      <c r="F57" s="6"/>
      <c r="G57" s="153"/>
      <c r="H57" s="129"/>
      <c r="I57" s="10"/>
    </row>
    <row r="58" spans="1:61" x14ac:dyDescent="0.25">
      <c r="A58" s="22" t="str">
        <f>"Råvaror och förnödenheter mm"</f>
        <v>Råvaror och förnödenheter mm</v>
      </c>
      <c r="B58" s="6"/>
      <c r="C58" s="203"/>
      <c r="D58" s="177"/>
      <c r="E58" s="188"/>
      <c r="F58" s="6"/>
      <c r="G58" s="153"/>
      <c r="H58" s="129"/>
      <c r="I58" s="10"/>
    </row>
    <row r="59" spans="1:61" x14ac:dyDescent="0.25">
      <c r="A59" s="24"/>
      <c r="B59" s="5"/>
      <c r="C59" s="204"/>
      <c r="D59" s="177"/>
      <c r="E59" s="188"/>
      <c r="F59" s="171"/>
      <c r="G59" s="153"/>
      <c r="H59" s="127"/>
      <c r="I59" s="56"/>
    </row>
    <row r="60" spans="1:61" x14ac:dyDescent="0.25">
      <c r="A60" s="24" t="str">
        <f>"4011"</f>
        <v>4011</v>
      </c>
      <c r="B60" s="5" t="str">
        <f>"Anmälningsavgifter"</f>
        <v>Anmälningsavgifter</v>
      </c>
      <c r="C60" s="210">
        <v>-35000</v>
      </c>
      <c r="D60" s="177">
        <v>-25000</v>
      </c>
      <c r="E60" s="188">
        <v>-32651</v>
      </c>
      <c r="F60" s="171">
        <v>-22460</v>
      </c>
      <c r="G60" s="153">
        <v>-38723</v>
      </c>
      <c r="H60" s="127">
        <v>-44933</v>
      </c>
      <c r="I60" s="10">
        <v>-34575</v>
      </c>
    </row>
    <row r="61" spans="1:61" x14ac:dyDescent="0.25">
      <c r="A61" s="24" t="str">
        <f>"4012"</f>
        <v>4012</v>
      </c>
      <c r="B61" s="5" t="str">
        <f>"transportkostnader"</f>
        <v>transportkostnader</v>
      </c>
      <c r="C61" s="210">
        <v>-5000</v>
      </c>
      <c r="D61" s="177">
        <v>-4000</v>
      </c>
      <c r="E61" s="188">
        <v>-4867</v>
      </c>
      <c r="F61" s="171">
        <v>-3587.5</v>
      </c>
      <c r="G61" s="153">
        <v>-3897.5</v>
      </c>
      <c r="H61" s="127">
        <v>-10378</v>
      </c>
      <c r="I61" s="10">
        <v>-2091</v>
      </c>
    </row>
    <row r="62" spans="1:61" x14ac:dyDescent="0.25">
      <c r="A62" s="24" t="str">
        <f>"4013"</f>
        <v>4013</v>
      </c>
      <c r="B62" s="5" t="str">
        <f>"Kost och logi under tävlingar"</f>
        <v>Kost och logi under tävlingar</v>
      </c>
      <c r="C62" s="210">
        <v>-12000</v>
      </c>
      <c r="D62" s="177"/>
      <c r="E62" s="188">
        <v>-11800</v>
      </c>
      <c r="F62" s="171">
        <v>-5360</v>
      </c>
      <c r="G62" s="153">
        <v>-12490</v>
      </c>
      <c r="H62" s="127">
        <v>-3540</v>
      </c>
      <c r="I62" s="10">
        <v>-13460</v>
      </c>
    </row>
    <row r="63" spans="1:61" x14ac:dyDescent="0.25">
      <c r="A63" s="24" t="str">
        <f>"4014"</f>
        <v>4014</v>
      </c>
      <c r="B63" s="5" t="str">
        <f>"Övriga tävlingskostnader"</f>
        <v>Övriga tävlingskostnader</v>
      </c>
      <c r="C63" s="210">
        <v>-4000</v>
      </c>
      <c r="D63" s="177"/>
      <c r="E63" s="188">
        <v>-3114</v>
      </c>
      <c r="F63" s="171"/>
      <c r="G63" s="153"/>
      <c r="H63" s="127"/>
      <c r="I63" s="10">
        <v>-2255</v>
      </c>
    </row>
    <row r="64" spans="1:61" x14ac:dyDescent="0.25">
      <c r="A64" s="24" t="str">
        <f>"4020"</f>
        <v>4020</v>
      </c>
      <c r="B64" s="5" t="str">
        <f>"Lägerkostnader"</f>
        <v>Lägerkostnader</v>
      </c>
      <c r="C64" s="210">
        <v>-12000</v>
      </c>
      <c r="D64" s="177">
        <v>-8000</v>
      </c>
      <c r="E64" s="188">
        <v>-8784</v>
      </c>
      <c r="F64" s="171">
        <v>-2060</v>
      </c>
      <c r="G64" s="153">
        <v>-1526</v>
      </c>
      <c r="H64" s="127">
        <v>-4627</v>
      </c>
      <c r="I64" s="56">
        <v>-8872</v>
      </c>
    </row>
    <row r="65" spans="1:14" x14ac:dyDescent="0.25">
      <c r="A65" s="24" t="str">
        <f>"4021"</f>
        <v>4021</v>
      </c>
      <c r="B65" s="5" t="str">
        <f>"Anmälningsavgifter, Läger"</f>
        <v>Anmälningsavgifter, Läger</v>
      </c>
      <c r="C65" s="210"/>
      <c r="D65" s="177"/>
      <c r="E65" s="188"/>
      <c r="F65" s="171"/>
      <c r="G65" s="153"/>
      <c r="H65" s="127"/>
      <c r="I65" s="10"/>
    </row>
    <row r="66" spans="1:14" x14ac:dyDescent="0.25">
      <c r="A66" s="24" t="str">
        <f>"4022"</f>
        <v>4022</v>
      </c>
      <c r="B66" s="5" t="str">
        <f>"Transportkostnader, Läger"</f>
        <v>Transportkostnader, Läger</v>
      </c>
      <c r="C66" s="210"/>
      <c r="D66" s="177"/>
      <c r="E66" s="188"/>
      <c r="F66" s="171"/>
      <c r="G66" s="153"/>
      <c r="H66" s="127"/>
      <c r="I66" s="10"/>
    </row>
    <row r="67" spans="1:14" x14ac:dyDescent="0.25">
      <c r="A67" s="24" t="s">
        <v>30</v>
      </c>
      <c r="B67" s="5" t="s">
        <v>31</v>
      </c>
      <c r="C67" s="210"/>
      <c r="D67" s="177"/>
      <c r="E67" s="188"/>
      <c r="F67" s="171">
        <v>-1700</v>
      </c>
      <c r="G67" s="153"/>
      <c r="H67" s="127"/>
      <c r="I67" s="10"/>
    </row>
    <row r="68" spans="1:14" x14ac:dyDescent="0.25">
      <c r="A68" s="24" t="str">
        <f>"4024"</f>
        <v>4024</v>
      </c>
      <c r="B68" s="5" t="str">
        <f>"SM läger"</f>
        <v>SM läger</v>
      </c>
      <c r="C68" s="210">
        <v>-50000</v>
      </c>
      <c r="D68" s="177">
        <v>-40000</v>
      </c>
      <c r="E68" s="188">
        <v>-43666</v>
      </c>
      <c r="F68" s="171">
        <v>-33695</v>
      </c>
      <c r="G68" s="153">
        <v>-16960</v>
      </c>
      <c r="H68" s="127">
        <v>-22174</v>
      </c>
      <c r="I68" s="10">
        <v>-28215</v>
      </c>
    </row>
    <row r="69" spans="1:14" x14ac:dyDescent="0.25">
      <c r="A69" s="24" t="s">
        <v>32</v>
      </c>
      <c r="B69" s="5" t="s">
        <v>33</v>
      </c>
      <c r="C69" s="210">
        <v>-40000</v>
      </c>
      <c r="D69" s="177">
        <v>-40000</v>
      </c>
      <c r="E69" s="188">
        <v>-35043</v>
      </c>
      <c r="F69" s="171">
        <v>-51908</v>
      </c>
      <c r="G69" s="153">
        <v>-68237</v>
      </c>
      <c r="H69" s="127">
        <v>-44493</v>
      </c>
      <c r="I69" s="10">
        <v>-56047</v>
      </c>
    </row>
    <row r="70" spans="1:14" x14ac:dyDescent="0.25">
      <c r="A70" s="24" t="str">
        <f>"4110"</f>
        <v>4110</v>
      </c>
      <c r="B70" s="5" t="str">
        <f>"Kostnader Kanotskolan"</f>
        <v>Kostnader Kanotskolan</v>
      </c>
      <c r="C70" s="210">
        <v>-13000</v>
      </c>
      <c r="D70" s="177">
        <v>-20000</v>
      </c>
      <c r="E70" s="188">
        <v>-12819.4</v>
      </c>
      <c r="F70" s="171">
        <v>-14874</v>
      </c>
      <c r="G70" s="153">
        <v>-18212</v>
      </c>
      <c r="H70" s="127">
        <v>-8052</v>
      </c>
      <c r="I70" s="10">
        <v>-10761</v>
      </c>
    </row>
    <row r="71" spans="1:14" x14ac:dyDescent="0.25">
      <c r="A71" s="24" t="s">
        <v>34</v>
      </c>
      <c r="B71" s="5" t="s">
        <v>35</v>
      </c>
      <c r="C71" s="210">
        <v>-4000</v>
      </c>
      <c r="D71" s="177">
        <v>-5000</v>
      </c>
      <c r="E71" s="188">
        <v>-3200</v>
      </c>
      <c r="F71" s="171">
        <v>-4100</v>
      </c>
      <c r="G71" s="153">
        <v>-10300</v>
      </c>
      <c r="H71" s="127">
        <v>-3600</v>
      </c>
      <c r="I71" s="10"/>
    </row>
    <row r="72" spans="1:14" x14ac:dyDescent="0.25">
      <c r="A72" s="24" t="str">
        <f>"4120"</f>
        <v>4120</v>
      </c>
      <c r="B72" s="5" t="str">
        <f>"Kostnad ungdomsverksamhet"</f>
        <v>Kostnad ungdomsverksamhet</v>
      </c>
      <c r="C72" s="210">
        <v>-25000</v>
      </c>
      <c r="D72" s="177">
        <v>-15000</v>
      </c>
      <c r="E72" s="188">
        <v>-20082.7</v>
      </c>
      <c r="F72" s="171">
        <v>-15443</v>
      </c>
      <c r="G72" s="153">
        <v>-10865</v>
      </c>
      <c r="H72" s="127">
        <v>-6599</v>
      </c>
      <c r="I72" s="10">
        <v>-11010</v>
      </c>
    </row>
    <row r="73" spans="1:14" x14ac:dyDescent="0.25">
      <c r="A73" s="24" t="s">
        <v>36</v>
      </c>
      <c r="B73" s="5" t="s">
        <v>37</v>
      </c>
      <c r="C73" s="210">
        <v>-10000</v>
      </c>
      <c r="D73" s="177">
        <v>-20000</v>
      </c>
      <c r="E73" s="188">
        <v>-10144</v>
      </c>
      <c r="F73" s="171"/>
      <c r="G73" s="153"/>
      <c r="H73" s="127"/>
      <c r="I73" s="10"/>
    </row>
    <row r="74" spans="1:14" x14ac:dyDescent="0.25">
      <c r="A74" s="24" t="str">
        <f>"4220"</f>
        <v>4220</v>
      </c>
      <c r="B74" s="5" t="s">
        <v>38</v>
      </c>
      <c r="C74" s="210">
        <v>-100000</v>
      </c>
      <c r="D74" s="177">
        <v>-82000</v>
      </c>
      <c r="E74" s="188">
        <v>-155862.54999999999</v>
      </c>
      <c r="F74" s="171">
        <v>-117887.33</v>
      </c>
      <c r="G74" s="153">
        <v>-72611.98</v>
      </c>
      <c r="H74" s="127">
        <v>-83127</v>
      </c>
      <c r="I74" s="10">
        <v>-33278</v>
      </c>
      <c r="J74" s="161"/>
      <c r="K74" s="162"/>
      <c r="L74" s="162"/>
      <c r="M74" s="162"/>
      <c r="N74" s="4"/>
    </row>
    <row r="75" spans="1:14" x14ac:dyDescent="0.25">
      <c r="A75" s="24" t="s">
        <v>39</v>
      </c>
      <c r="B75" s="5" t="s">
        <v>40</v>
      </c>
      <c r="C75" s="210"/>
      <c r="D75" s="177"/>
      <c r="E75" s="188"/>
      <c r="F75" s="171">
        <v>-2000</v>
      </c>
      <c r="G75" s="153">
        <v>-16508</v>
      </c>
      <c r="H75" s="127">
        <v>-21032</v>
      </c>
      <c r="I75" s="10">
        <v>-3618</v>
      </c>
    </row>
    <row r="76" spans="1:14" x14ac:dyDescent="0.25">
      <c r="A76" s="24" t="s">
        <v>41</v>
      </c>
      <c r="B76" s="5" t="s">
        <v>42</v>
      </c>
      <c r="C76" s="210"/>
      <c r="D76" s="177"/>
      <c r="E76" s="188"/>
      <c r="F76" s="171"/>
      <c r="G76" s="153">
        <v>-11300</v>
      </c>
      <c r="H76" s="127"/>
      <c r="I76" s="10"/>
    </row>
    <row r="77" spans="1:14" x14ac:dyDescent="0.25">
      <c r="A77" s="24" t="str">
        <f>"4610"</f>
        <v>4610</v>
      </c>
      <c r="B77" s="5" t="str">
        <f>"Mötesverksamhet"</f>
        <v>Mötesverksamhet</v>
      </c>
      <c r="C77" s="210">
        <v>-5000</v>
      </c>
      <c r="D77" s="177">
        <v>-8000</v>
      </c>
      <c r="E77" s="188">
        <v>-4700</v>
      </c>
      <c r="F77" s="171">
        <v>-8029</v>
      </c>
      <c r="G77" s="153">
        <v>-663</v>
      </c>
      <c r="H77" s="127">
        <v>-223</v>
      </c>
      <c r="I77" s="99">
        <v>-1906</v>
      </c>
    </row>
    <row r="78" spans="1:14" x14ac:dyDescent="0.25">
      <c r="A78" s="24" t="s">
        <v>43</v>
      </c>
      <c r="B78" s="5" t="s">
        <v>44</v>
      </c>
      <c r="C78" s="210"/>
      <c r="D78" s="177"/>
      <c r="E78" s="188"/>
      <c r="F78" s="171"/>
      <c r="G78" s="153"/>
      <c r="H78" s="127"/>
      <c r="I78" s="10">
        <v>-10840</v>
      </c>
    </row>
    <row r="79" spans="1:14" x14ac:dyDescent="0.25">
      <c r="A79" s="24" t="str">
        <f>"4710"</f>
        <v>4710</v>
      </c>
      <c r="B79" s="5" t="str">
        <f>"Märken och priser"</f>
        <v>Märken och priser</v>
      </c>
      <c r="C79" s="210">
        <v>-4000</v>
      </c>
      <c r="D79" s="177">
        <v>-4000</v>
      </c>
      <c r="E79" s="188">
        <v>-4127</v>
      </c>
      <c r="F79" s="171">
        <v>-3630</v>
      </c>
      <c r="G79" s="153">
        <v>-3710</v>
      </c>
      <c r="H79" s="127">
        <v>-6310</v>
      </c>
      <c r="I79" s="10">
        <v>-3790</v>
      </c>
    </row>
    <row r="80" spans="1:14" x14ac:dyDescent="0.25">
      <c r="A80" s="24" t="str">
        <f>"4800"</f>
        <v>4800</v>
      </c>
      <c r="B80" s="5" t="str">
        <f>"Medlemmarnas pengar"</f>
        <v>Medlemmarnas pengar</v>
      </c>
      <c r="C80" s="210"/>
      <c r="D80" s="177"/>
      <c r="E80" s="188"/>
      <c r="F80" s="171"/>
      <c r="G80" s="153"/>
      <c r="H80" s="127"/>
      <c r="I80" s="10"/>
    </row>
    <row r="81" spans="1:9" x14ac:dyDescent="0.25">
      <c r="A81" s="26"/>
      <c r="B81" s="6"/>
      <c r="C81" s="210"/>
      <c r="D81" s="177"/>
      <c r="E81" s="188"/>
      <c r="F81" s="6"/>
      <c r="G81" s="153"/>
      <c r="H81" s="129"/>
      <c r="I81" s="10"/>
    </row>
    <row r="82" spans="1:9" s="1" customFormat="1" ht="15.75" thickBot="1" x14ac:dyDescent="0.3">
      <c r="A82" s="27" t="str">
        <f>"S:a Råvaror och förnödenheter mm"</f>
        <v>S:a Råvaror och förnödenheter mm</v>
      </c>
      <c r="B82" s="14"/>
      <c r="C82" s="212">
        <f>SUM(C60:C80)</f>
        <v>-319000</v>
      </c>
      <c r="D82" s="179">
        <f>SUM(D59:D80)</f>
        <v>-271000</v>
      </c>
      <c r="E82" s="189">
        <f>SUM(E59:E80)</f>
        <v>-350860.65</v>
      </c>
      <c r="F82" s="170">
        <f>SUM(F59:F80)</f>
        <v>-286733.83</v>
      </c>
      <c r="G82" s="109">
        <f>SUM(G59:G80)</f>
        <v>-286003.48</v>
      </c>
      <c r="H82" s="119">
        <f>SUM(H59:H80)</f>
        <v>-259088</v>
      </c>
      <c r="I82" s="55">
        <f>SUM(I59:I81)</f>
        <v>-220718</v>
      </c>
    </row>
    <row r="83" spans="1:9" x14ac:dyDescent="0.25">
      <c r="A83" s="19"/>
      <c r="B83" s="20"/>
      <c r="C83" s="205"/>
      <c r="D83" s="180"/>
      <c r="E83" s="190"/>
      <c r="F83" s="168"/>
      <c r="G83" s="155"/>
      <c r="H83" s="128"/>
      <c r="I83" s="30"/>
    </row>
    <row r="84" spans="1:9" x14ac:dyDescent="0.25">
      <c r="A84" s="26"/>
      <c r="B84" s="6"/>
      <c r="C84" s="203"/>
      <c r="D84" s="177"/>
      <c r="E84" s="188"/>
      <c r="F84" s="6"/>
      <c r="G84" s="153"/>
      <c r="H84" s="129"/>
      <c r="I84" s="10"/>
    </row>
    <row r="85" spans="1:9" s="1" customFormat="1" ht="15.75" thickBot="1" x14ac:dyDescent="0.3">
      <c r="A85" s="27" t="str">
        <f>"Bruttovinst"</f>
        <v>Bruttovinst</v>
      </c>
      <c r="B85" s="14"/>
      <c r="C85" s="213">
        <f>C55+C82</f>
        <v>71800</v>
      </c>
      <c r="D85" s="179">
        <f>D55+D82</f>
        <v>107500</v>
      </c>
      <c r="E85" s="189">
        <f t="shared" ref="E85:I85" si="2">E55+E82</f>
        <v>124867.34999999998</v>
      </c>
      <c r="F85" s="167">
        <f t="shared" si="2"/>
        <v>149285.5</v>
      </c>
      <c r="G85" s="154">
        <f t="shared" si="2"/>
        <v>278452.52</v>
      </c>
      <c r="H85" s="119">
        <f t="shared" si="2"/>
        <v>164795.5</v>
      </c>
      <c r="I85" s="28">
        <f t="shared" si="2"/>
        <v>252234</v>
      </c>
    </row>
    <row r="86" spans="1:9" x14ac:dyDescent="0.25">
      <c r="A86" s="19"/>
      <c r="B86" s="20"/>
      <c r="C86" s="205"/>
      <c r="D86" s="180"/>
      <c r="E86" s="190"/>
      <c r="F86" s="168"/>
      <c r="G86" s="155"/>
      <c r="H86" s="128"/>
      <c r="I86" s="30"/>
    </row>
    <row r="87" spans="1:9" x14ac:dyDescent="0.25">
      <c r="A87" s="22" t="str">
        <f>"Övriga externa kostnader"</f>
        <v>Övriga externa kostnader</v>
      </c>
      <c r="B87" s="6"/>
      <c r="C87" s="203"/>
      <c r="D87" s="177"/>
      <c r="E87" s="188"/>
      <c r="F87" s="6"/>
      <c r="G87" s="153"/>
      <c r="H87" s="129"/>
      <c r="I87" s="10"/>
    </row>
    <row r="88" spans="1:9" x14ac:dyDescent="0.25">
      <c r="A88" s="24" t="str">
        <f>"5110"</f>
        <v>5110</v>
      </c>
      <c r="B88" s="5" t="str">
        <f>"Arrende"</f>
        <v>Arrende</v>
      </c>
      <c r="C88" s="210">
        <v>-4000</v>
      </c>
      <c r="D88" s="177">
        <v>-4000</v>
      </c>
      <c r="E88" s="188">
        <v>-4004</v>
      </c>
      <c r="F88" s="171">
        <v>-4000</v>
      </c>
      <c r="G88" s="153">
        <v>-1643</v>
      </c>
      <c r="H88" s="127">
        <v>-1643</v>
      </c>
      <c r="I88" s="10">
        <v>-1637</v>
      </c>
    </row>
    <row r="89" spans="1:9" x14ac:dyDescent="0.25">
      <c r="A89" s="24" t="str">
        <f>"5120"</f>
        <v>5120</v>
      </c>
      <c r="B89" s="5" t="str">
        <f>"Elektricitet"</f>
        <v>Elektricitet</v>
      </c>
      <c r="C89" s="210">
        <v>-25000</v>
      </c>
      <c r="D89" s="177">
        <v>-25000</v>
      </c>
      <c r="E89" s="188">
        <v>-15738</v>
      </c>
      <c r="F89" s="171">
        <v>-21431</v>
      </c>
      <c r="G89" s="153">
        <v>-24526</v>
      </c>
      <c r="H89" s="127">
        <v>-28939</v>
      </c>
      <c r="I89" s="10">
        <v>-21334</v>
      </c>
    </row>
    <row r="90" spans="1:9" x14ac:dyDescent="0.25">
      <c r="A90" s="24" t="str">
        <f>"5140"</f>
        <v>5140</v>
      </c>
      <c r="B90" s="5" t="str">
        <f>"Vatten och sophämtning"</f>
        <v>Vatten och sophämtning</v>
      </c>
      <c r="C90" s="210">
        <v>-6500</v>
      </c>
      <c r="D90" s="177">
        <v>-6500</v>
      </c>
      <c r="E90" s="188">
        <v>-4833</v>
      </c>
      <c r="F90" s="171">
        <v>-6464</v>
      </c>
      <c r="G90" s="153">
        <v>-5849</v>
      </c>
      <c r="H90" s="127">
        <v>-6178</v>
      </c>
      <c r="I90" s="10">
        <v>-6077</v>
      </c>
    </row>
    <row r="91" spans="1:9" x14ac:dyDescent="0.25">
      <c r="A91" s="24" t="s">
        <v>45</v>
      </c>
      <c r="B91" s="5" t="s">
        <v>46</v>
      </c>
      <c r="C91" s="210">
        <v>-4000</v>
      </c>
      <c r="D91" s="177">
        <v>-4000</v>
      </c>
      <c r="E91" s="188"/>
      <c r="F91" s="171">
        <v>-8039.38</v>
      </c>
      <c r="G91" s="153"/>
      <c r="H91" s="127"/>
      <c r="I91" s="10"/>
    </row>
    <row r="92" spans="1:9" x14ac:dyDescent="0.25">
      <c r="A92" s="24" t="str">
        <f>"5170"</f>
        <v>5170</v>
      </c>
      <c r="B92" s="5" t="str">
        <f>"Fastighetsunderhåll"</f>
        <v>Fastighetsunderhåll</v>
      </c>
      <c r="C92" s="210">
        <v>-50000</v>
      </c>
      <c r="D92" s="177">
        <v>-50000</v>
      </c>
      <c r="E92" s="188">
        <v>-1287</v>
      </c>
      <c r="F92" s="171">
        <v>-5540.5</v>
      </c>
      <c r="G92" s="153">
        <v>-18240</v>
      </c>
      <c r="H92" s="127">
        <v>-53805</v>
      </c>
      <c r="I92" s="10">
        <v>-3691</v>
      </c>
    </row>
    <row r="93" spans="1:9" x14ac:dyDescent="0.25">
      <c r="A93" s="24" t="s">
        <v>47</v>
      </c>
      <c r="B93" s="5" t="s">
        <v>48</v>
      </c>
      <c r="C93" s="210"/>
      <c r="D93" s="177"/>
      <c r="E93" s="188"/>
      <c r="F93" s="171">
        <v>-4006</v>
      </c>
      <c r="G93" s="153">
        <v>-61624.5</v>
      </c>
      <c r="H93" s="127"/>
      <c r="I93" s="10">
        <v>-4528</v>
      </c>
    </row>
    <row r="94" spans="1:9" x14ac:dyDescent="0.25">
      <c r="A94" s="24" t="str">
        <f>"5410"</f>
        <v>5410</v>
      </c>
      <c r="B94" s="5" t="str">
        <f>"Förbrukningsinventarier"</f>
        <v>Förbrukningsinventarier</v>
      </c>
      <c r="C94" s="210">
        <v>-3000</v>
      </c>
      <c r="D94" s="177">
        <v>-62000</v>
      </c>
      <c r="E94" s="188">
        <v>-13444</v>
      </c>
      <c r="F94" s="171">
        <v>-1795</v>
      </c>
      <c r="G94" s="153">
        <v>-1038</v>
      </c>
      <c r="H94" s="127">
        <v>-1675</v>
      </c>
      <c r="I94" s="10">
        <v>-992</v>
      </c>
    </row>
    <row r="95" spans="1:9" x14ac:dyDescent="0.25">
      <c r="A95" s="24" t="str">
        <f>"5420"</f>
        <v>5420</v>
      </c>
      <c r="B95" s="5" t="str">
        <f>"Programvaror"</f>
        <v>Programvaror</v>
      </c>
      <c r="C95" s="210">
        <v>-1500</v>
      </c>
      <c r="D95" s="177">
        <v>-1500</v>
      </c>
      <c r="E95" s="188"/>
      <c r="F95" s="171"/>
      <c r="G95" s="153">
        <v>-1265</v>
      </c>
      <c r="H95" s="127">
        <v>-1200</v>
      </c>
      <c r="I95" s="10">
        <v>-1135</v>
      </c>
    </row>
    <row r="96" spans="1:9" x14ac:dyDescent="0.25">
      <c r="A96" s="24" t="s">
        <v>49</v>
      </c>
      <c r="B96" s="5" t="s">
        <v>50</v>
      </c>
      <c r="C96" s="210">
        <v>-1000</v>
      </c>
      <c r="D96" s="177">
        <v>-4000</v>
      </c>
      <c r="E96" s="188">
        <v>-1616</v>
      </c>
      <c r="F96" s="171">
        <v>-3556</v>
      </c>
      <c r="G96" s="153"/>
      <c r="H96" s="127"/>
      <c r="I96" s="10"/>
    </row>
    <row r="97" spans="1:9" x14ac:dyDescent="0.25">
      <c r="A97" s="24" t="str">
        <f>"5500"</f>
        <v>5500</v>
      </c>
      <c r="B97" s="5" t="str">
        <f>"Kanotunderhåll"</f>
        <v>Kanotunderhåll</v>
      </c>
      <c r="C97" s="210">
        <v>-5000</v>
      </c>
      <c r="D97" s="177">
        <v>-5000</v>
      </c>
      <c r="E97" s="188"/>
      <c r="F97" s="171">
        <v>-2258</v>
      </c>
      <c r="G97" s="153">
        <v>-4670</v>
      </c>
      <c r="H97" s="127">
        <v>-1400</v>
      </c>
      <c r="I97" s="10">
        <v>-1823</v>
      </c>
    </row>
    <row r="98" spans="1:9" x14ac:dyDescent="0.25">
      <c r="A98" s="24" t="str">
        <f>"5611"</f>
        <v>5611</v>
      </c>
      <c r="B98" s="5" t="s">
        <v>51</v>
      </c>
      <c r="C98" s="210">
        <v>-2000</v>
      </c>
      <c r="D98" s="177">
        <v>-4000</v>
      </c>
      <c r="E98" s="188">
        <v>-875</v>
      </c>
      <c r="F98" s="171">
        <v>-1569</v>
      </c>
      <c r="G98" s="153">
        <v>-573</v>
      </c>
      <c r="H98" s="127">
        <v>-1867</v>
      </c>
      <c r="I98" s="10">
        <v>-664</v>
      </c>
    </row>
    <row r="99" spans="1:9" x14ac:dyDescent="0.25">
      <c r="A99" s="24" t="str">
        <f>"5612"</f>
        <v>5612</v>
      </c>
      <c r="B99" s="5" t="str">
        <f>"Försäkring"</f>
        <v>Försäkring</v>
      </c>
      <c r="C99" s="210">
        <v>-30000</v>
      </c>
      <c r="D99" s="177">
        <v>-29000</v>
      </c>
      <c r="E99" s="188">
        <v>-7266</v>
      </c>
      <c r="F99" s="171">
        <v>-28098</v>
      </c>
      <c r="G99" s="153">
        <v>-27736</v>
      </c>
      <c r="H99" s="127">
        <v>-43706</v>
      </c>
      <c r="I99" s="10">
        <v>-36936</v>
      </c>
    </row>
    <row r="100" spans="1:9" x14ac:dyDescent="0.25">
      <c r="A100" s="24" t="s">
        <v>52</v>
      </c>
      <c r="B100" s="5" t="s">
        <v>53</v>
      </c>
      <c r="C100" s="210">
        <v>-1500</v>
      </c>
      <c r="D100" s="177">
        <v>-1000</v>
      </c>
      <c r="E100" s="188"/>
      <c r="F100" s="171">
        <v>-4371</v>
      </c>
      <c r="G100" s="153"/>
      <c r="H100" s="127">
        <v>-400</v>
      </c>
      <c r="I100" s="10"/>
    </row>
    <row r="101" spans="1:9" x14ac:dyDescent="0.25">
      <c r="A101" s="24"/>
      <c r="B101" s="5"/>
      <c r="C101" s="210"/>
      <c r="D101" s="177"/>
      <c r="E101" s="188"/>
      <c r="F101" s="171"/>
      <c r="G101" s="153">
        <v>-315</v>
      </c>
      <c r="H101" s="127"/>
      <c r="I101" s="10">
        <v>-8985</v>
      </c>
    </row>
    <row r="102" spans="1:9" x14ac:dyDescent="0.25">
      <c r="A102" s="24" t="str">
        <f>"5620"</f>
        <v>5620</v>
      </c>
      <c r="B102" s="5" t="s">
        <v>54</v>
      </c>
      <c r="C102" s="210">
        <v>-4000</v>
      </c>
      <c r="D102" s="177">
        <v>-5000</v>
      </c>
      <c r="E102" s="188">
        <v>-2295</v>
      </c>
      <c r="F102" s="171">
        <v>-8015</v>
      </c>
      <c r="G102" s="153">
        <v>-1476</v>
      </c>
      <c r="H102" s="127">
        <v>-1721</v>
      </c>
      <c r="I102" s="10"/>
    </row>
    <row r="103" spans="1:9" x14ac:dyDescent="0.25">
      <c r="A103" s="24" t="s">
        <v>55</v>
      </c>
      <c r="B103" s="5" t="s">
        <v>56</v>
      </c>
      <c r="C103" s="210"/>
      <c r="D103" s="177"/>
      <c r="E103" s="188"/>
      <c r="F103" s="171"/>
      <c r="G103" s="153"/>
      <c r="H103" s="127"/>
      <c r="I103" s="10">
        <v>-31345</v>
      </c>
    </row>
    <row r="104" spans="1:9" x14ac:dyDescent="0.25">
      <c r="A104" s="24" t="str">
        <f>"6110"</f>
        <v>6110</v>
      </c>
      <c r="B104" s="5" t="str">
        <f>"Kontorsmaterial"</f>
        <v>Kontorsmaterial</v>
      </c>
      <c r="C104" s="210">
        <v>-500</v>
      </c>
      <c r="D104" s="177">
        <v>-2000</v>
      </c>
      <c r="E104" s="188">
        <v>-148</v>
      </c>
      <c r="F104" s="171">
        <v>-1733</v>
      </c>
      <c r="G104" s="153">
        <v>-138</v>
      </c>
      <c r="H104" s="127">
        <v>-115</v>
      </c>
      <c r="I104" s="10">
        <v>-1193</v>
      </c>
    </row>
    <row r="105" spans="1:9" x14ac:dyDescent="0.25">
      <c r="A105" s="24" t="str">
        <f>"6210"</f>
        <v>6210</v>
      </c>
      <c r="B105" s="5" t="str">
        <f>"Telefon"</f>
        <v>Telefon</v>
      </c>
      <c r="C105" s="210"/>
      <c r="D105" s="177">
        <v>0</v>
      </c>
      <c r="E105" s="188"/>
      <c r="F105" s="171"/>
      <c r="G105" s="153">
        <v>-440</v>
      </c>
      <c r="H105" s="127">
        <v>-1928</v>
      </c>
      <c r="I105" s="10">
        <v>-2045</v>
      </c>
    </row>
    <row r="106" spans="1:9" x14ac:dyDescent="0.25">
      <c r="A106" s="24" t="str">
        <f>"6250"</f>
        <v>6250</v>
      </c>
      <c r="B106" s="5" t="str">
        <f>"Porto"</f>
        <v>Porto</v>
      </c>
      <c r="C106" s="210">
        <v>-200</v>
      </c>
      <c r="D106" s="177">
        <v>-200</v>
      </c>
      <c r="E106" s="188">
        <v>-183</v>
      </c>
      <c r="F106" s="171">
        <v>-140</v>
      </c>
      <c r="G106" s="153">
        <v>-60</v>
      </c>
      <c r="H106" s="127">
        <v>-60</v>
      </c>
      <c r="I106" s="10">
        <v>-629</v>
      </c>
    </row>
    <row r="107" spans="1:9" x14ac:dyDescent="0.25">
      <c r="A107" s="24" t="str">
        <f>"6570"</f>
        <v>6570</v>
      </c>
      <c r="B107" s="5" t="str">
        <f>"Bankkostnader"</f>
        <v>Bankkostnader</v>
      </c>
      <c r="C107" s="210">
        <v>-1000</v>
      </c>
      <c r="D107" s="177">
        <v>-2000</v>
      </c>
      <c r="E107" s="188">
        <v>-615</v>
      </c>
      <c r="F107" s="171">
        <v>-4.5</v>
      </c>
      <c r="G107" s="153">
        <v>-1869</v>
      </c>
      <c r="H107" s="127">
        <v>-1971</v>
      </c>
      <c r="I107" s="10">
        <v>-3250</v>
      </c>
    </row>
    <row r="108" spans="1:9" x14ac:dyDescent="0.25">
      <c r="A108" s="24" t="str">
        <f>"6980"</f>
        <v>6980</v>
      </c>
      <c r="B108" s="5" t="str">
        <f>"Föreningsavgift /Licenser"</f>
        <v>Föreningsavgift /Licenser</v>
      </c>
      <c r="C108" s="210">
        <v>-18000</v>
      </c>
      <c r="D108" s="177">
        <v>-25000</v>
      </c>
      <c r="E108" s="188">
        <v>-17180</v>
      </c>
      <c r="F108" s="171">
        <v>-15790</v>
      </c>
      <c r="G108" s="153">
        <v>-26978</v>
      </c>
      <c r="H108" s="127">
        <v>-24550</v>
      </c>
      <c r="I108" s="10">
        <v>-19650</v>
      </c>
    </row>
    <row r="109" spans="1:9" x14ac:dyDescent="0.25">
      <c r="A109" s="24" t="str">
        <f>"6990"</f>
        <v>6990</v>
      </c>
      <c r="B109" s="5" t="str">
        <f>"Övriga Kostnader"</f>
        <v>Övriga Kostnader</v>
      </c>
      <c r="C109" s="210">
        <v>-5000</v>
      </c>
      <c r="D109" s="177">
        <v>-4000</v>
      </c>
      <c r="E109" s="188">
        <v>-4730.79</v>
      </c>
      <c r="F109" s="171">
        <v>-3998.66</v>
      </c>
      <c r="G109" s="153">
        <v>-3766.5</v>
      </c>
      <c r="H109" s="127">
        <v>-14526.5</v>
      </c>
      <c r="I109" s="10">
        <v>-4063</v>
      </c>
    </row>
    <row r="110" spans="1:9" x14ac:dyDescent="0.25">
      <c r="A110" s="24" t="str">
        <f>"6991"</f>
        <v>6991</v>
      </c>
      <c r="B110" s="5" t="str">
        <f>"Container"</f>
        <v>Container</v>
      </c>
      <c r="C110" s="210"/>
      <c r="D110" s="177"/>
      <c r="E110" s="188"/>
      <c r="F110" s="171"/>
      <c r="G110" s="153"/>
      <c r="H110" s="127"/>
      <c r="I110" s="10"/>
    </row>
    <row r="111" spans="1:9" x14ac:dyDescent="0.25">
      <c r="A111" s="26"/>
      <c r="B111" s="6"/>
      <c r="C111" s="210"/>
      <c r="D111" s="177"/>
      <c r="E111" s="188"/>
      <c r="F111" s="6"/>
      <c r="G111" s="153"/>
      <c r="H111" s="127"/>
      <c r="I111" s="10"/>
    </row>
    <row r="112" spans="1:9" s="1" customFormat="1" ht="15.75" thickBot="1" x14ac:dyDescent="0.3">
      <c r="A112" s="27" t="str">
        <f>"S:a Övriga externa kostnader"</f>
        <v>S:a Övriga externa kostnader</v>
      </c>
      <c r="B112" s="14"/>
      <c r="C112" s="212">
        <f t="shared" ref="C112:H112" si="3">SUM(C88:C110)</f>
        <v>-162200</v>
      </c>
      <c r="D112" s="179">
        <f t="shared" si="3"/>
        <v>-234200</v>
      </c>
      <c r="E112" s="189">
        <f t="shared" si="3"/>
        <v>-74214.789999999994</v>
      </c>
      <c r="F112" s="170">
        <f t="shared" si="3"/>
        <v>-120809.04000000001</v>
      </c>
      <c r="G112" s="109">
        <f t="shared" si="3"/>
        <v>-182207</v>
      </c>
      <c r="H112" s="119">
        <f t="shared" si="3"/>
        <v>-185684.5</v>
      </c>
      <c r="I112" s="55">
        <f>SUM(I88:I111)</f>
        <v>-149977</v>
      </c>
    </row>
    <row r="113" spans="1:61" s="1" customFormat="1" ht="15.75" thickBot="1" x14ac:dyDescent="0.3">
      <c r="A113" s="80"/>
      <c r="B113" s="81"/>
      <c r="C113" s="206"/>
      <c r="D113" s="181"/>
      <c r="E113" s="197"/>
      <c r="F113" s="172"/>
      <c r="G113" s="158"/>
      <c r="H113" s="130"/>
      <c r="I113" s="84"/>
    </row>
    <row r="114" spans="1:61" x14ac:dyDescent="0.25">
      <c r="A114" s="19"/>
      <c r="B114" s="20"/>
      <c r="C114" s="205"/>
      <c r="D114" s="180"/>
      <c r="E114" s="190"/>
      <c r="F114" s="168"/>
      <c r="G114" s="155"/>
      <c r="H114" s="131"/>
      <c r="I114" s="30"/>
    </row>
    <row r="115" spans="1:61" x14ac:dyDescent="0.25">
      <c r="A115" s="22" t="str">
        <f>"Personalkostnader"</f>
        <v>Personalkostnader</v>
      </c>
      <c r="B115" s="6"/>
      <c r="C115" s="203"/>
      <c r="D115" s="177"/>
      <c r="E115" s="188"/>
      <c r="F115" s="6"/>
      <c r="G115" s="153"/>
      <c r="H115" s="127"/>
      <c r="I115" s="10"/>
    </row>
    <row r="116" spans="1:61" x14ac:dyDescent="0.25">
      <c r="A116" s="24" t="str">
        <f>"7110"</f>
        <v>7110</v>
      </c>
      <c r="B116" s="5" t="str">
        <f>"Träningsbidrag"</f>
        <v>Träningsbidrag</v>
      </c>
      <c r="C116" s="210"/>
      <c r="D116" s="177"/>
      <c r="E116" s="188"/>
      <c r="F116" s="171">
        <v>-400</v>
      </c>
      <c r="G116" s="153">
        <v>-3200</v>
      </c>
      <c r="H116" s="127">
        <v>-4600</v>
      </c>
      <c r="I116" s="10">
        <v>-7600</v>
      </c>
    </row>
    <row r="117" spans="1:61" x14ac:dyDescent="0.25">
      <c r="A117" s="24" t="s">
        <v>57</v>
      </c>
      <c r="B117" s="5" t="s">
        <v>58</v>
      </c>
      <c r="C117" s="210">
        <v>-4000</v>
      </c>
      <c r="D117" s="177"/>
      <c r="E117" s="188">
        <v>-4050</v>
      </c>
      <c r="F117" s="171">
        <v>-600</v>
      </c>
      <c r="G117" s="153">
        <v>-900</v>
      </c>
      <c r="H117" s="127">
        <v>-2200</v>
      </c>
      <c r="I117" s="10">
        <v>-1600</v>
      </c>
    </row>
    <row r="118" spans="1:61" x14ac:dyDescent="0.25">
      <c r="A118" s="24" t="str">
        <f>"7210"</f>
        <v>7210</v>
      </c>
      <c r="B118" s="5" t="str">
        <f>"Resekostnads ersättning"</f>
        <v>Resekostnads ersättning</v>
      </c>
      <c r="C118" s="210">
        <v>-1000</v>
      </c>
      <c r="D118" s="177"/>
      <c r="E118" s="188">
        <v>-851</v>
      </c>
      <c r="F118" s="171">
        <v>-610</v>
      </c>
      <c r="G118" s="153">
        <v>-6961</v>
      </c>
      <c r="H118" s="127">
        <v>-6040</v>
      </c>
      <c r="I118" s="10">
        <v>-5381</v>
      </c>
    </row>
    <row r="119" spans="1:61" x14ac:dyDescent="0.25">
      <c r="A119" s="24" t="str">
        <f>"7610"</f>
        <v>7610</v>
      </c>
      <c r="B119" s="5" t="str">
        <f>"Utbildning"</f>
        <v>Utbildning</v>
      </c>
      <c r="C119" s="210">
        <v>-10000</v>
      </c>
      <c r="D119" s="177"/>
      <c r="E119" s="188">
        <v>-7796</v>
      </c>
      <c r="F119" s="171"/>
      <c r="G119" s="153">
        <v>-11671</v>
      </c>
      <c r="H119" s="127">
        <v>-18925</v>
      </c>
      <c r="I119" s="10"/>
    </row>
    <row r="120" spans="1:61" x14ac:dyDescent="0.25">
      <c r="A120" s="26"/>
      <c r="B120" s="6" t="s">
        <v>37</v>
      </c>
      <c r="C120" s="210"/>
      <c r="D120" s="177"/>
      <c r="E120" s="188"/>
      <c r="F120" s="6"/>
      <c r="G120" s="153"/>
      <c r="H120" s="127"/>
      <c r="I120" s="10"/>
    </row>
    <row r="121" spans="1:61" s="1" customFormat="1" ht="15.75" thickBot="1" x14ac:dyDescent="0.3">
      <c r="A121" s="27" t="str">
        <f>"S:a Personalkostnader"</f>
        <v>S:a Personalkostnader</v>
      </c>
      <c r="B121" s="14"/>
      <c r="C121" s="212">
        <f>SUM(C116:C120)</f>
        <v>-15000</v>
      </c>
      <c r="D121" s="179">
        <f>SUM(D116:D119)</f>
        <v>0</v>
      </c>
      <c r="E121" s="189">
        <f>SUM(E116:E119)</f>
        <v>-12697</v>
      </c>
      <c r="F121" s="170">
        <f>SUM(F116:F119)</f>
        <v>-1610</v>
      </c>
      <c r="G121" s="154">
        <f>SUM(G116:G119)</f>
        <v>-22732</v>
      </c>
      <c r="H121" s="119">
        <f>SUM(H116:H119)</f>
        <v>-31765</v>
      </c>
      <c r="I121" s="55">
        <f>SUM(I116:I120)</f>
        <v>-14581</v>
      </c>
    </row>
    <row r="122" spans="1:61" x14ac:dyDescent="0.25">
      <c r="A122" s="19"/>
      <c r="B122" s="20"/>
      <c r="C122" s="205"/>
      <c r="D122" s="180"/>
      <c r="E122" s="190"/>
      <c r="F122" s="168"/>
      <c r="G122" s="155"/>
      <c r="H122" s="131"/>
      <c r="I122" s="30"/>
    </row>
    <row r="123" spans="1:61" x14ac:dyDescent="0.25">
      <c r="A123" s="26"/>
      <c r="B123" s="6"/>
      <c r="C123" s="203"/>
      <c r="D123" s="177"/>
      <c r="E123" s="188"/>
      <c r="F123" s="6"/>
      <c r="G123" s="153"/>
      <c r="H123" s="127"/>
      <c r="I123" s="10"/>
    </row>
    <row r="124" spans="1:61" s="2" customFormat="1" ht="15.75" thickBot="1" x14ac:dyDescent="0.3">
      <c r="A124" s="32" t="str">
        <f>"S:a Rörelsens kostnader inkl råvaror mm"</f>
        <v>S:a Rörelsens kostnader inkl råvaror mm</v>
      </c>
      <c r="B124" s="33"/>
      <c r="C124" s="147">
        <f>C82+C112+C121</f>
        <v>-496200</v>
      </c>
      <c r="D124" s="163">
        <f>D82+D112+D121</f>
        <v>-505200</v>
      </c>
      <c r="E124" s="163">
        <f>E82+E112+E121</f>
        <v>-437772.44</v>
      </c>
      <c r="F124" s="149">
        <f>F82+F121+F112</f>
        <v>-409152.87</v>
      </c>
      <c r="G124" s="110">
        <f>G82+G121+G112</f>
        <v>-490942.48</v>
      </c>
      <c r="H124" s="111">
        <f>H82+H112+H121</f>
        <v>-476537.5</v>
      </c>
      <c r="I124" s="34">
        <f>I82+I112+I121</f>
        <v>-385276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s="2" customFormat="1" x14ac:dyDescent="0.25">
      <c r="A125" s="51"/>
      <c r="B125" s="17"/>
      <c r="C125" s="207"/>
      <c r="D125" s="182"/>
      <c r="E125" s="191"/>
      <c r="F125" s="81"/>
      <c r="G125" s="156"/>
      <c r="H125" s="132"/>
      <c r="I125" s="5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s="2" customFormat="1" x14ac:dyDescent="0.25">
      <c r="A126" s="51" t="s">
        <v>59</v>
      </c>
      <c r="B126" s="17" t="s">
        <v>60</v>
      </c>
      <c r="C126" s="208"/>
      <c r="D126" s="183"/>
      <c r="E126" s="198"/>
      <c r="F126" s="17">
        <v>118.94</v>
      </c>
      <c r="G126" s="157">
        <v>7419</v>
      </c>
      <c r="H126" s="132">
        <v>708</v>
      </c>
      <c r="I126" s="57">
        <v>1757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x14ac:dyDescent="0.25">
      <c r="A127" s="26"/>
      <c r="B127" s="6"/>
      <c r="C127" s="203"/>
      <c r="D127" s="177"/>
      <c r="E127" s="188"/>
      <c r="F127" s="6"/>
      <c r="G127" s="153"/>
      <c r="H127" s="127"/>
      <c r="I127" s="10"/>
    </row>
    <row r="128" spans="1:61" s="3" customFormat="1" x14ac:dyDescent="0.25">
      <c r="A128" s="113" t="str">
        <f>"Beräknat resultat"</f>
        <v>Beräknat resultat</v>
      </c>
      <c r="B128" s="114"/>
      <c r="C128" s="150">
        <f>C55+C124+C126</f>
        <v>-105400</v>
      </c>
      <c r="D128" s="164">
        <f t="shared" ref="D128:I128" si="4">D55+D124+D126</f>
        <v>-126700</v>
      </c>
      <c r="E128" s="164">
        <f t="shared" si="4"/>
        <v>37955.56</v>
      </c>
      <c r="F128" s="150">
        <f t="shared" si="4"/>
        <v>26985.40000000002</v>
      </c>
      <c r="G128" s="115">
        <f t="shared" si="4"/>
        <v>80932.520000000019</v>
      </c>
      <c r="H128" s="116">
        <f t="shared" si="4"/>
        <v>-51946</v>
      </c>
      <c r="I128" s="117">
        <f t="shared" si="4"/>
        <v>89433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9" ht="15.75" thickBot="1" x14ac:dyDescent="0.3">
      <c r="A129" s="37"/>
      <c r="B129" s="15"/>
      <c r="C129" s="15"/>
      <c r="D129" s="15"/>
      <c r="E129" s="15"/>
      <c r="F129" s="15"/>
      <c r="G129" s="109"/>
      <c r="H129" s="15"/>
      <c r="I129" s="70"/>
    </row>
  </sheetData>
  <pageMargins left="0.7" right="0.7" top="0.75" bottom="0.75" header="0.3" footer="0.3"/>
  <pageSetup paperSize="9" orientation="portrait" horizontalDpi="4294967294" verticalDpi="0" r:id="rId1"/>
  <headerFooter>
    <oddHeader>&amp;C&amp;"Calibri"&amp;10&amp;K008000 Zeppelin: Confidential GREEN&amp;1#_x000D_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40D5-8FB6-4C38-B4F9-75CF01D4DA05}">
  <sheetPr>
    <tabColor rgb="FFFFFF00"/>
  </sheetPr>
  <dimension ref="A1:BL129"/>
  <sheetViews>
    <sheetView topLeftCell="A3" workbookViewId="0">
      <selection activeCell="A3" sqref="A1:XFD1048576"/>
    </sheetView>
  </sheetViews>
  <sheetFormatPr defaultRowHeight="15" x14ac:dyDescent="0.25"/>
  <cols>
    <col min="1" max="1" width="12.28515625" customWidth="1"/>
    <col min="2" max="2" width="31.42578125" customWidth="1"/>
    <col min="3" max="3" width="17.28515625" bestFit="1" customWidth="1"/>
    <col min="4" max="4" width="19" customWidth="1"/>
    <col min="5" max="5" width="15.7109375" customWidth="1"/>
    <col min="6" max="6" width="12.5703125" style="248" bestFit="1" customWidth="1"/>
    <col min="7" max="7" width="4.5703125" style="248" customWidth="1"/>
    <col min="8" max="9" width="15.7109375" customWidth="1"/>
    <col min="10" max="11" width="14.28515625" customWidth="1"/>
    <col min="12" max="12" width="13.7109375" style="4" customWidth="1"/>
    <col min="13" max="13" width="20.7109375" bestFit="1" customWidth="1"/>
    <col min="14" max="14" width="16" customWidth="1"/>
    <col min="15" max="15" width="12.7109375" customWidth="1"/>
    <col min="16" max="16" width="32.7109375" bestFit="1" customWidth="1"/>
    <col min="17" max="17" width="11.7109375" bestFit="1" customWidth="1"/>
  </cols>
  <sheetData>
    <row r="1" spans="1:12" hidden="1" x14ac:dyDescent="0.25">
      <c r="A1" s="9"/>
      <c r="C1" s="47" t="s">
        <v>1</v>
      </c>
      <c r="D1" s="47"/>
      <c r="E1" s="194"/>
      <c r="F1" s="233"/>
      <c r="G1" s="233"/>
      <c r="H1" s="194"/>
      <c r="I1" s="194"/>
      <c r="J1" s="47"/>
      <c r="K1" s="47"/>
      <c r="L1" s="10"/>
    </row>
    <row r="2" spans="1:12" hidden="1" x14ac:dyDescent="0.25">
      <c r="A2" s="9"/>
      <c r="B2" s="87"/>
      <c r="C2" s="87" t="s">
        <v>2</v>
      </c>
      <c r="D2" s="87"/>
      <c r="E2" s="195"/>
      <c r="F2" s="234"/>
      <c r="G2" s="234"/>
      <c r="H2" s="195"/>
      <c r="I2" s="195"/>
      <c r="J2" s="87"/>
      <c r="K2" s="7"/>
      <c r="L2" s="10"/>
    </row>
    <row r="3" spans="1:12" x14ac:dyDescent="0.25">
      <c r="A3" s="6"/>
      <c r="B3" s="47" t="s">
        <v>0</v>
      </c>
      <c r="C3" s="200">
        <v>2019</v>
      </c>
      <c r="D3" s="214">
        <v>2018</v>
      </c>
      <c r="E3" s="58">
        <v>2018</v>
      </c>
      <c r="F3" s="235"/>
      <c r="G3" s="235"/>
      <c r="H3" s="58">
        <v>2017</v>
      </c>
      <c r="I3" s="58">
        <v>2016</v>
      </c>
      <c r="J3" s="58">
        <v>2015</v>
      </c>
      <c r="K3" s="58">
        <v>2014</v>
      </c>
      <c r="L3" s="121">
        <v>2013</v>
      </c>
    </row>
    <row r="4" spans="1:12" ht="15.75" thickBot="1" x14ac:dyDescent="0.3">
      <c r="A4" s="16"/>
      <c r="B4" s="16"/>
      <c r="C4" s="201" t="s">
        <v>4</v>
      </c>
      <c r="D4" s="215" t="s">
        <v>4</v>
      </c>
      <c r="E4" s="59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122" t="s">
        <v>5</v>
      </c>
    </row>
    <row r="5" spans="1:12" x14ac:dyDescent="0.25">
      <c r="A5" s="19"/>
      <c r="B5" s="20"/>
      <c r="C5" s="202"/>
      <c r="D5" s="216"/>
      <c r="E5" s="20"/>
      <c r="F5" s="237"/>
      <c r="G5" s="237"/>
      <c r="H5" s="20"/>
      <c r="I5" s="20"/>
      <c r="J5" s="20"/>
      <c r="K5" s="20"/>
      <c r="L5" s="123"/>
    </row>
    <row r="6" spans="1:12" x14ac:dyDescent="0.25">
      <c r="A6" s="22" t="str">
        <f>"Rörelsens intäkter och lagerförändring"</f>
        <v>Rörelsens intäkter och lagerförändring</v>
      </c>
      <c r="B6" s="6"/>
      <c r="C6" s="203"/>
      <c r="D6" s="217"/>
      <c r="E6" s="6"/>
      <c r="F6" s="238"/>
      <c r="G6" s="238"/>
      <c r="H6" s="6"/>
      <c r="I6" s="6"/>
      <c r="J6" s="6"/>
      <c r="K6" s="6"/>
      <c r="L6" s="124"/>
    </row>
    <row r="7" spans="1:12" x14ac:dyDescent="0.25">
      <c r="A7" s="22" t="str">
        <f>"Nettoomsättning"</f>
        <v>Nettoomsättning</v>
      </c>
      <c r="B7" s="6"/>
      <c r="C7" s="203"/>
      <c r="D7" s="217"/>
      <c r="E7" s="6"/>
      <c r="F7" s="238"/>
      <c r="G7" s="238"/>
      <c r="H7" s="6"/>
      <c r="I7" s="6"/>
      <c r="J7" s="6"/>
      <c r="K7" s="6"/>
      <c r="L7" s="124"/>
    </row>
    <row r="8" spans="1:12" x14ac:dyDescent="0.25">
      <c r="A8" s="186" t="str">
        <f>"3110"</f>
        <v>3110</v>
      </c>
      <c r="B8" s="5" t="str">
        <f>"Medlemsavgifter"</f>
        <v>Medlemsavgifter</v>
      </c>
      <c r="C8" s="210">
        <v>92000</v>
      </c>
      <c r="D8" s="218">
        <v>92000</v>
      </c>
      <c r="E8" s="188">
        <v>83200</v>
      </c>
      <c r="F8" s="239">
        <f>-(D8-E8)</f>
        <v>-8800</v>
      </c>
      <c r="G8" s="239"/>
      <c r="H8" s="188">
        <v>95550</v>
      </c>
      <c r="I8" s="188">
        <v>94050</v>
      </c>
      <c r="J8" s="165">
        <v>92225</v>
      </c>
      <c r="K8" s="153">
        <v>91000</v>
      </c>
      <c r="L8" s="125">
        <v>83650</v>
      </c>
    </row>
    <row r="9" spans="1:12" x14ac:dyDescent="0.25">
      <c r="A9" s="186" t="str">
        <f>"3120"</f>
        <v>3120</v>
      </c>
      <c r="B9" s="5" t="str">
        <f>"Intäkter kanothyra"</f>
        <v>Intäkter kanothyra</v>
      </c>
      <c r="C9" s="210">
        <v>16000</v>
      </c>
      <c r="D9" s="218">
        <v>15000</v>
      </c>
      <c r="E9" s="188">
        <v>14605</v>
      </c>
      <c r="F9" s="239">
        <f t="shared" ref="F9:F33" si="0">-(D9-E9)</f>
        <v>-395</v>
      </c>
      <c r="G9" s="239"/>
      <c r="H9" s="188">
        <v>24825</v>
      </c>
      <c r="I9" s="188">
        <v>15440</v>
      </c>
      <c r="J9" s="165">
        <v>13125</v>
      </c>
      <c r="K9" s="153">
        <v>17450</v>
      </c>
      <c r="L9" s="125">
        <v>13450</v>
      </c>
    </row>
    <row r="10" spans="1:12" x14ac:dyDescent="0.25">
      <c r="A10" s="186" t="str">
        <f>"3130"</f>
        <v>3130</v>
      </c>
      <c r="B10" s="5" t="str">
        <f>"Intäkter kanotplats"</f>
        <v>Intäkter kanotplats</v>
      </c>
      <c r="C10" s="210">
        <v>25000</v>
      </c>
      <c r="D10" s="218">
        <v>24000</v>
      </c>
      <c r="E10" s="188">
        <v>22300</v>
      </c>
      <c r="F10" s="239">
        <f t="shared" si="0"/>
        <v>-1700</v>
      </c>
      <c r="G10" s="239"/>
      <c r="H10" s="188">
        <v>21800</v>
      </c>
      <c r="I10" s="188">
        <v>24625</v>
      </c>
      <c r="J10" s="165">
        <v>23375</v>
      </c>
      <c r="K10" s="153">
        <v>17713</v>
      </c>
      <c r="L10" s="125">
        <v>18175</v>
      </c>
    </row>
    <row r="11" spans="1:12" x14ac:dyDescent="0.25">
      <c r="A11" s="186" t="str">
        <f>"3140"</f>
        <v>3140</v>
      </c>
      <c r="B11" s="5" t="str">
        <f>"Intäkter kanotskola"</f>
        <v>Intäkter kanotskola</v>
      </c>
      <c r="C11" s="210">
        <v>22000</v>
      </c>
      <c r="D11" s="218">
        <v>20000</v>
      </c>
      <c r="E11" s="188">
        <v>13980</v>
      </c>
      <c r="F11" s="239">
        <f t="shared" si="0"/>
        <v>-6020</v>
      </c>
      <c r="G11" s="239"/>
      <c r="H11" s="188">
        <v>19500</v>
      </c>
      <c r="I11" s="188">
        <v>17550</v>
      </c>
      <c r="J11" s="165">
        <v>25525</v>
      </c>
      <c r="K11" s="153">
        <v>35750</v>
      </c>
      <c r="L11" s="125">
        <v>24535</v>
      </c>
    </row>
    <row r="12" spans="1:12" x14ac:dyDescent="0.25">
      <c r="A12" s="186" t="str">
        <f>"3142"</f>
        <v>3142</v>
      </c>
      <c r="B12" s="5" t="str">
        <f>"Prova-på-paddling"</f>
        <v>Prova-på-paddling</v>
      </c>
      <c r="C12" s="210">
        <v>0</v>
      </c>
      <c r="D12" s="218">
        <v>12000</v>
      </c>
      <c r="E12" s="188">
        <v>0</v>
      </c>
      <c r="F12" s="239">
        <f t="shared" si="0"/>
        <v>-12000</v>
      </c>
      <c r="G12" s="239"/>
      <c r="H12" s="188">
        <v>10500</v>
      </c>
      <c r="I12" s="188">
        <v>13600</v>
      </c>
      <c r="J12" s="165">
        <v>12400</v>
      </c>
      <c r="K12" s="153">
        <v>18000</v>
      </c>
      <c r="L12" s="125">
        <v>7200</v>
      </c>
    </row>
    <row r="13" spans="1:12" x14ac:dyDescent="0.25">
      <c r="A13" s="186" t="s">
        <v>6</v>
      </c>
      <c r="B13" s="5" t="s">
        <v>7</v>
      </c>
      <c r="C13" s="210">
        <v>20000</v>
      </c>
      <c r="D13" s="218">
        <v>10000</v>
      </c>
      <c r="E13" s="188">
        <v>5100</v>
      </c>
      <c r="F13" s="239">
        <f t="shared" si="0"/>
        <v>-4900</v>
      </c>
      <c r="G13" s="239"/>
      <c r="H13" s="188">
        <v>4700</v>
      </c>
      <c r="I13" s="188">
        <v>16200</v>
      </c>
      <c r="J13" s="165">
        <v>6000</v>
      </c>
      <c r="K13" s="153">
        <v>3100</v>
      </c>
      <c r="L13" s="125">
        <v>7600</v>
      </c>
    </row>
    <row r="14" spans="1:12" x14ac:dyDescent="0.25">
      <c r="A14" s="186" t="str">
        <f>"3211"</f>
        <v>3211</v>
      </c>
      <c r="B14" s="5" t="str">
        <f>"Anmälningsavgifter"</f>
        <v>Anmälningsavgifter</v>
      </c>
      <c r="C14" s="210">
        <v>24000</v>
      </c>
      <c r="D14" s="218">
        <v>8000</v>
      </c>
      <c r="E14" s="188">
        <v>11980</v>
      </c>
      <c r="F14" s="255">
        <f t="shared" si="0"/>
        <v>3980</v>
      </c>
      <c r="G14" s="239"/>
      <c r="H14" s="188">
        <v>7425</v>
      </c>
      <c r="I14" s="188">
        <v>7800</v>
      </c>
      <c r="J14" s="165">
        <v>6400</v>
      </c>
      <c r="K14" s="153">
        <v>12000</v>
      </c>
      <c r="L14" s="125">
        <v>13120</v>
      </c>
    </row>
    <row r="15" spans="1:12" x14ac:dyDescent="0.25">
      <c r="A15" s="186" t="str">
        <f>"3212"</f>
        <v>3212</v>
      </c>
      <c r="B15" s="5" t="str">
        <f>"Transportavgift"</f>
        <v>Transportavgift</v>
      </c>
      <c r="C15" s="210"/>
      <c r="D15" s="218"/>
      <c r="E15" s="188"/>
      <c r="F15" s="239">
        <f t="shared" si="0"/>
        <v>0</v>
      </c>
      <c r="G15" s="239"/>
      <c r="H15" s="188"/>
      <c r="I15" s="188"/>
      <c r="J15" s="165">
        <v>400</v>
      </c>
      <c r="K15" s="153">
        <v>100</v>
      </c>
      <c r="L15" s="125">
        <v>1800</v>
      </c>
    </row>
    <row r="16" spans="1:12" x14ac:dyDescent="0.25">
      <c r="A16" s="186" t="str">
        <f>"3213"</f>
        <v>3213</v>
      </c>
      <c r="B16" s="5" t="str">
        <f>"Kost och logi under tävlingar"</f>
        <v>Kost och logi under tävlingar</v>
      </c>
      <c r="C16" s="210">
        <v>20000</v>
      </c>
      <c r="D16" s="218"/>
      <c r="E16" s="188">
        <v>46140</v>
      </c>
      <c r="F16" s="255">
        <f t="shared" si="0"/>
        <v>46140</v>
      </c>
      <c r="G16" s="239"/>
      <c r="H16" s="188">
        <v>10126.75</v>
      </c>
      <c r="I16" s="188">
        <v>7635</v>
      </c>
      <c r="J16" s="165">
        <v>5390</v>
      </c>
      <c r="K16" s="153">
        <v>12555</v>
      </c>
      <c r="L16" s="125">
        <v>2400</v>
      </c>
    </row>
    <row r="17" spans="1:15" x14ac:dyDescent="0.25">
      <c r="A17" s="186"/>
      <c r="B17" s="44"/>
      <c r="C17" s="211"/>
      <c r="D17" s="219"/>
      <c r="E17" s="196"/>
      <c r="F17" s="239">
        <f t="shared" si="0"/>
        <v>0</v>
      </c>
      <c r="G17" s="239"/>
      <c r="H17" s="196"/>
      <c r="I17" s="196"/>
      <c r="J17" s="166"/>
      <c r="K17" s="153"/>
      <c r="L17" s="126"/>
    </row>
    <row r="18" spans="1:15" x14ac:dyDescent="0.25">
      <c r="A18" s="223" t="str">
        <f>"3221"</f>
        <v>3221</v>
      </c>
      <c r="B18" s="224" t="s">
        <v>122</v>
      </c>
      <c r="C18" s="210">
        <v>9000</v>
      </c>
      <c r="D18" s="218">
        <v>10000</v>
      </c>
      <c r="E18" s="188">
        <v>2200</v>
      </c>
      <c r="F18" s="239">
        <f t="shared" si="0"/>
        <v>-7800</v>
      </c>
      <c r="G18" s="239"/>
      <c r="H18" s="188">
        <v>8900</v>
      </c>
      <c r="I18" s="188">
        <v>9850</v>
      </c>
      <c r="J18" s="165">
        <v>8200</v>
      </c>
      <c r="K18" s="153">
        <v>5450</v>
      </c>
      <c r="L18" s="125">
        <v>1650</v>
      </c>
    </row>
    <row r="19" spans="1:15" x14ac:dyDescent="0.25">
      <c r="A19" s="223" t="s">
        <v>11</v>
      </c>
      <c r="B19" s="224" t="s">
        <v>123</v>
      </c>
      <c r="C19" s="210">
        <v>0</v>
      </c>
      <c r="D19" s="218"/>
      <c r="E19" s="188"/>
      <c r="F19" s="239">
        <f t="shared" si="0"/>
        <v>0</v>
      </c>
      <c r="G19" s="239"/>
      <c r="H19" s="188"/>
      <c r="I19" s="188"/>
      <c r="J19" s="165"/>
      <c r="K19" s="153"/>
      <c r="L19" s="125"/>
    </row>
    <row r="20" spans="1:15" x14ac:dyDescent="0.25">
      <c r="A20" s="186" t="str">
        <f>"3223"</f>
        <v>3223</v>
      </c>
      <c r="B20" s="5" t="str">
        <f>"Intäkter SM läger"</f>
        <v>Intäkter SM läger</v>
      </c>
      <c r="C20" s="210">
        <v>30000</v>
      </c>
      <c r="D20" s="218">
        <v>18000</v>
      </c>
      <c r="E20" s="188">
        <v>22540</v>
      </c>
      <c r="F20" s="255">
        <f t="shared" si="0"/>
        <v>4540</v>
      </c>
      <c r="G20" s="239"/>
      <c r="H20" s="188">
        <v>22500</v>
      </c>
      <c r="I20" s="188">
        <v>17100</v>
      </c>
      <c r="J20" s="165">
        <v>18000</v>
      </c>
      <c r="K20" s="153">
        <v>7500</v>
      </c>
      <c r="L20" s="125">
        <v>8400</v>
      </c>
    </row>
    <row r="21" spans="1:15" x14ac:dyDescent="0.25">
      <c r="A21" s="186" t="s">
        <v>13</v>
      </c>
      <c r="B21" s="5" t="s">
        <v>14</v>
      </c>
      <c r="C21" s="210">
        <v>60000</v>
      </c>
      <c r="D21" s="218">
        <v>5000</v>
      </c>
      <c r="E21" s="188">
        <v>24271</v>
      </c>
      <c r="F21" s="255">
        <f>-(D21-E20)</f>
        <v>17540</v>
      </c>
      <c r="G21" s="239"/>
      <c r="H21" s="188">
        <v>4052</v>
      </c>
      <c r="I21" s="188"/>
      <c r="J21" s="165">
        <v>5434</v>
      </c>
      <c r="K21" s="153">
        <v>11030</v>
      </c>
      <c r="L21" s="125">
        <v>13415.5</v>
      </c>
    </row>
    <row r="22" spans="1:15" x14ac:dyDescent="0.25">
      <c r="A22" s="186" t="s">
        <v>130</v>
      </c>
      <c r="B22" s="5" t="s">
        <v>131</v>
      </c>
      <c r="C22" s="210">
        <v>9000</v>
      </c>
      <c r="D22" s="218"/>
      <c r="E22" s="188">
        <v>7248</v>
      </c>
      <c r="F22" s="255"/>
      <c r="G22" s="239"/>
      <c r="H22" s="188">
        <v>0</v>
      </c>
      <c r="I22" s="188"/>
      <c r="J22" s="165"/>
      <c r="K22" s="153"/>
      <c r="L22" s="125"/>
    </row>
    <row r="23" spans="1:15" x14ac:dyDescent="0.25">
      <c r="A23" s="186" t="str">
        <f>"3310"</f>
        <v>3310</v>
      </c>
      <c r="B23" s="5" t="s">
        <v>132</v>
      </c>
      <c r="C23" s="210">
        <v>2500</v>
      </c>
      <c r="D23" s="218">
        <v>900</v>
      </c>
      <c r="E23" s="188">
        <v>2694</v>
      </c>
      <c r="F23" s="255">
        <f t="shared" si="0"/>
        <v>1794</v>
      </c>
      <c r="G23" s="239"/>
      <c r="H23" s="188">
        <v>3787</v>
      </c>
      <c r="I23" s="188">
        <v>910</v>
      </c>
      <c r="J23" s="165">
        <v>1092</v>
      </c>
      <c r="K23" s="153">
        <v>3943</v>
      </c>
      <c r="L23" s="125">
        <v>2388</v>
      </c>
    </row>
    <row r="24" spans="1:15" x14ac:dyDescent="0.25">
      <c r="A24" s="186" t="s">
        <v>15</v>
      </c>
      <c r="B24" s="5" t="s">
        <v>16</v>
      </c>
      <c r="C24" s="210">
        <v>0</v>
      </c>
      <c r="D24" s="218"/>
      <c r="E24" s="188"/>
      <c r="F24" s="239">
        <f t="shared" si="0"/>
        <v>0</v>
      </c>
      <c r="G24" s="239"/>
      <c r="H24" s="188"/>
      <c r="I24" s="188"/>
      <c r="J24" s="165"/>
      <c r="K24" s="153"/>
      <c r="L24" s="125"/>
    </row>
    <row r="25" spans="1:15" x14ac:dyDescent="0.25">
      <c r="A25" s="186" t="str">
        <f>"3420"</f>
        <v>3420</v>
      </c>
      <c r="B25" s="5" t="str">
        <f>"Intäkter Sponsorer"</f>
        <v>Intäkter Sponsorer</v>
      </c>
      <c r="C25" s="210">
        <v>34500</v>
      </c>
      <c r="D25" s="218">
        <v>39000</v>
      </c>
      <c r="E25" s="188">
        <v>38500</v>
      </c>
      <c r="F25" s="239">
        <f t="shared" si="0"/>
        <v>-500</v>
      </c>
      <c r="G25" s="239"/>
      <c r="H25" s="188">
        <v>49385</v>
      </c>
      <c r="I25" s="188">
        <v>37000</v>
      </c>
      <c r="J25" s="165">
        <v>54000</v>
      </c>
      <c r="K25" s="153">
        <v>62570</v>
      </c>
      <c r="L25" s="125">
        <v>41400</v>
      </c>
      <c r="N25" s="4"/>
      <c r="O25" s="4"/>
    </row>
    <row r="26" spans="1:15" x14ac:dyDescent="0.25">
      <c r="A26" s="186" t="str">
        <f>"3421"</f>
        <v>3421</v>
      </c>
      <c r="B26" s="5" t="s">
        <v>17</v>
      </c>
      <c r="C26" s="210">
        <v>30000</v>
      </c>
      <c r="D26" s="218">
        <v>30000</v>
      </c>
      <c r="E26" s="188">
        <v>62500</v>
      </c>
      <c r="F26" s="255">
        <f t="shared" si="0"/>
        <v>32500</v>
      </c>
      <c r="G26" s="239"/>
      <c r="H26" s="188">
        <v>24000</v>
      </c>
      <c r="I26" s="188">
        <v>93000</v>
      </c>
      <c r="J26" s="165">
        <v>28000</v>
      </c>
      <c r="K26" s="153">
        <v>73000</v>
      </c>
      <c r="L26" s="125">
        <v>28000</v>
      </c>
    </row>
    <row r="27" spans="1:15" x14ac:dyDescent="0.25">
      <c r="A27" s="186" t="s">
        <v>18</v>
      </c>
      <c r="B27" s="5" t="s">
        <v>19</v>
      </c>
      <c r="C27" s="210"/>
      <c r="D27" s="218"/>
      <c r="E27" s="188">
        <v>35000</v>
      </c>
      <c r="F27" s="255">
        <f t="shared" si="0"/>
        <v>35000</v>
      </c>
      <c r="G27" s="239"/>
      <c r="H27" s="188">
        <v>29500</v>
      </c>
      <c r="I27" s="188">
        <v>27000</v>
      </c>
      <c r="J27" s="165">
        <v>28775.33</v>
      </c>
      <c r="K27" s="153">
        <v>26179</v>
      </c>
      <c r="L27" s="125">
        <v>50350</v>
      </c>
    </row>
    <row r="28" spans="1:15" x14ac:dyDescent="0.25">
      <c r="A28" s="186" t="str">
        <f>"3430"</f>
        <v>3430</v>
      </c>
      <c r="B28" s="5" t="str">
        <f>"Intäkter föräldrarföreningen"</f>
        <v>Intäkter föräldrarföreningen</v>
      </c>
      <c r="C28" s="210">
        <v>52000</v>
      </c>
      <c r="D28" s="218"/>
      <c r="E28" s="188"/>
      <c r="F28" s="239">
        <f t="shared" si="0"/>
        <v>0</v>
      </c>
      <c r="G28" s="239"/>
      <c r="H28" s="188"/>
      <c r="I28" s="188"/>
      <c r="J28" s="165"/>
      <c r="K28" s="153"/>
      <c r="L28" s="127"/>
    </row>
    <row r="29" spans="1:15" x14ac:dyDescent="0.25">
      <c r="A29" s="186" t="str">
        <f>"3520"</f>
        <v>3520</v>
      </c>
      <c r="B29" s="5" t="str">
        <f>"Intäkter Kanotförsäkring"</f>
        <v>Intäkter Kanotförsäkring</v>
      </c>
      <c r="C29" s="210"/>
      <c r="D29" s="218"/>
      <c r="E29" s="188"/>
      <c r="F29" s="239">
        <f t="shared" si="0"/>
        <v>0</v>
      </c>
      <c r="G29" s="239"/>
      <c r="H29" s="188"/>
      <c r="I29" s="188">
        <v>430</v>
      </c>
      <c r="J29" s="165">
        <v>2100</v>
      </c>
      <c r="K29" s="153">
        <v>3458</v>
      </c>
      <c r="L29" s="127">
        <v>3830</v>
      </c>
    </row>
    <row r="30" spans="1:15" x14ac:dyDescent="0.25">
      <c r="A30" s="186" t="s">
        <v>133</v>
      </c>
      <c r="B30" s="5" t="s">
        <v>134</v>
      </c>
      <c r="C30" s="210">
        <v>500</v>
      </c>
      <c r="D30" s="218"/>
      <c r="E30" s="188"/>
      <c r="F30" s="239"/>
      <c r="G30" s="239"/>
      <c r="H30" s="188">
        <v>1200</v>
      </c>
      <c r="I30" s="188"/>
      <c r="J30" s="165"/>
      <c r="K30" s="153"/>
      <c r="L30" s="127"/>
    </row>
    <row r="31" spans="1:15" x14ac:dyDescent="0.25">
      <c r="A31" s="186" t="s">
        <v>20</v>
      </c>
      <c r="B31" s="5" t="s">
        <v>21</v>
      </c>
      <c r="C31" s="210"/>
      <c r="D31" s="218"/>
      <c r="E31" s="188"/>
      <c r="F31" s="239">
        <f t="shared" si="0"/>
        <v>0</v>
      </c>
      <c r="G31" s="239"/>
      <c r="H31" s="188"/>
      <c r="I31" s="188"/>
      <c r="J31" s="165"/>
      <c r="K31" s="153">
        <v>61624</v>
      </c>
      <c r="L31" s="127"/>
    </row>
    <row r="32" spans="1:15" x14ac:dyDescent="0.25">
      <c r="A32" s="186" t="str">
        <f>"3710"</f>
        <v>3710</v>
      </c>
      <c r="B32" s="5" t="str">
        <f>"Kommunala bidrag"</f>
        <v>Kommunala bidrag</v>
      </c>
      <c r="C32" s="210">
        <v>50000</v>
      </c>
      <c r="D32" s="218">
        <v>51000</v>
      </c>
      <c r="E32" s="188">
        <v>53067</v>
      </c>
      <c r="F32" s="255">
        <f t="shared" si="0"/>
        <v>2067</v>
      </c>
      <c r="G32" s="239"/>
      <c r="H32" s="188">
        <v>71801</v>
      </c>
      <c r="I32" s="188">
        <v>51130</v>
      </c>
      <c r="J32" s="165">
        <v>54852</v>
      </c>
      <c r="K32" s="153">
        <v>52860</v>
      </c>
      <c r="L32" s="127">
        <v>51090</v>
      </c>
    </row>
    <row r="33" spans="1:16" x14ac:dyDescent="0.25">
      <c r="A33" s="186" t="str">
        <f>"3730"</f>
        <v>3730</v>
      </c>
      <c r="B33" s="5" t="str">
        <f>"LOK-stöd Riksidrottsförbundet"</f>
        <v>LOK-stöd Riksidrottsförbundet</v>
      </c>
      <c r="C33" s="210">
        <v>44000</v>
      </c>
      <c r="D33" s="218">
        <v>40000</v>
      </c>
      <c r="E33" s="188">
        <v>48410.75</v>
      </c>
      <c r="F33" s="255">
        <f t="shared" si="0"/>
        <v>8410.75</v>
      </c>
      <c r="G33" s="239"/>
      <c r="H33" s="188">
        <v>54186</v>
      </c>
      <c r="I33" s="188">
        <v>40408</v>
      </c>
      <c r="J33" s="165">
        <v>36836</v>
      </c>
      <c r="K33" s="153">
        <v>33824</v>
      </c>
      <c r="L33" s="127">
        <v>39430</v>
      </c>
    </row>
    <row r="34" spans="1:16" x14ac:dyDescent="0.25">
      <c r="A34" s="186" t="s">
        <v>135</v>
      </c>
      <c r="B34" s="5" t="s">
        <v>136</v>
      </c>
      <c r="C34" s="210">
        <v>30000</v>
      </c>
      <c r="D34" s="218"/>
      <c r="E34" s="188"/>
      <c r="F34" s="239">
        <f t="shared" ref="F34:F35" si="1">D34-E34</f>
        <v>0</v>
      </c>
      <c r="G34" s="239"/>
      <c r="H34" s="188">
        <v>108000</v>
      </c>
      <c r="I34" s="188"/>
      <c r="J34" s="165"/>
      <c r="K34" s="153"/>
      <c r="L34" s="127"/>
    </row>
    <row r="35" spans="1:16" x14ac:dyDescent="0.25">
      <c r="A35" s="186" t="str">
        <f>"3790"</f>
        <v>3790</v>
      </c>
      <c r="B35" s="5" t="s">
        <v>24</v>
      </c>
      <c r="C35" s="210"/>
      <c r="D35" s="218"/>
      <c r="E35" s="188"/>
      <c r="F35" s="239">
        <f t="shared" si="1"/>
        <v>0</v>
      </c>
      <c r="G35" s="239"/>
      <c r="H35" s="188"/>
      <c r="I35" s="188"/>
      <c r="J35" s="165"/>
      <c r="K35" s="153"/>
      <c r="L35" s="127"/>
      <c r="P35" s="4"/>
    </row>
    <row r="36" spans="1:16" x14ac:dyDescent="0.25">
      <c r="A36" s="26"/>
      <c r="B36" s="6"/>
      <c r="C36" s="210"/>
      <c r="D36" s="218"/>
      <c r="E36" s="188"/>
      <c r="F36" s="239"/>
      <c r="G36" s="239"/>
      <c r="H36" s="188"/>
      <c r="I36" s="188"/>
      <c r="J36" s="165"/>
      <c r="K36" s="153"/>
      <c r="L36" s="127"/>
    </row>
    <row r="37" spans="1:16" s="1" customFormat="1" ht="15.75" thickBot="1" x14ac:dyDescent="0.3">
      <c r="A37" s="27" t="str">
        <f>"S:a Nettoomsättning"</f>
        <v>S:a Nettoomsättning</v>
      </c>
      <c r="B37" s="14"/>
      <c r="C37" s="209">
        <f>SUM(C8:C35)</f>
        <v>570500</v>
      </c>
      <c r="D37" s="220">
        <v>374900</v>
      </c>
      <c r="E37" s="189">
        <f>SUM(E8:E36)</f>
        <v>493735.75</v>
      </c>
      <c r="F37" s="240"/>
      <c r="G37" s="240"/>
      <c r="H37" s="189">
        <f>SUM(H8:H36)</f>
        <v>571737.75</v>
      </c>
      <c r="I37" s="189">
        <f>SUM(I8:I36)</f>
        <v>473728</v>
      </c>
      <c r="J37" s="167">
        <f>SUM(J8:J35)</f>
        <v>422129.33</v>
      </c>
      <c r="K37" s="154">
        <f>SUM(K8:K35)</f>
        <v>549106</v>
      </c>
      <c r="L37" s="119">
        <f>SUM(L8:L35)</f>
        <v>411883.5</v>
      </c>
      <c r="P37" s="120"/>
    </row>
    <row r="38" spans="1:16" x14ac:dyDescent="0.25">
      <c r="A38" s="19"/>
      <c r="B38" s="20"/>
      <c r="C38" s="205"/>
      <c r="D38" s="228"/>
      <c r="E38" s="190"/>
      <c r="F38" s="241"/>
      <c r="G38" s="241"/>
      <c r="H38" s="190"/>
      <c r="I38" s="190"/>
      <c r="J38" s="168"/>
      <c r="K38" s="155"/>
      <c r="L38" s="128"/>
    </row>
    <row r="39" spans="1:16" x14ac:dyDescent="0.25">
      <c r="A39" s="22" t="str">
        <f>"Aktiverat arbete för egen räkning"</f>
        <v>Aktiverat arbete för egen räkning</v>
      </c>
      <c r="B39" s="6"/>
      <c r="C39" s="203"/>
      <c r="D39" s="229"/>
      <c r="E39" s="188"/>
      <c r="F39" s="239"/>
      <c r="G39" s="239"/>
      <c r="H39" s="188"/>
      <c r="I39" s="188"/>
      <c r="J39" s="6"/>
      <c r="K39" s="153"/>
      <c r="L39" s="129"/>
    </row>
    <row r="40" spans="1:16" x14ac:dyDescent="0.25">
      <c r="A40" s="186" t="str">
        <f>"3813"</f>
        <v>3813</v>
      </c>
      <c r="B40" s="5" t="s">
        <v>27</v>
      </c>
      <c r="C40" s="210"/>
      <c r="D40" s="218">
        <v>2000</v>
      </c>
      <c r="E40" s="188">
        <v>0</v>
      </c>
      <c r="F40" s="239"/>
      <c r="G40" s="239"/>
      <c r="H40" s="188">
        <v>5500</v>
      </c>
      <c r="I40" s="188">
        <v>2000</v>
      </c>
      <c r="J40" s="153">
        <v>1000</v>
      </c>
      <c r="K40" s="153">
        <v>3350</v>
      </c>
      <c r="L40" s="127">
        <v>0</v>
      </c>
    </row>
    <row r="41" spans="1:16" x14ac:dyDescent="0.25">
      <c r="A41" s="187"/>
      <c r="B41" s="6"/>
      <c r="C41" s="210"/>
      <c r="D41" s="218"/>
      <c r="E41" s="188"/>
      <c r="F41" s="239"/>
      <c r="G41" s="239"/>
      <c r="H41" s="188"/>
      <c r="I41" s="188"/>
      <c r="J41" s="6"/>
      <c r="K41" s="153"/>
      <c r="L41" s="129"/>
    </row>
    <row r="42" spans="1:16" s="1" customFormat="1" ht="15.75" thickBot="1" x14ac:dyDescent="0.3">
      <c r="A42" s="27" t="str">
        <f>"S:a Aktiverat arbete för egen räkning"</f>
        <v>S:a Aktiverat arbete för egen räkning</v>
      </c>
      <c r="B42" s="14"/>
      <c r="C42" s="212">
        <f>SUM(C39:C40)</f>
        <v>0</v>
      </c>
      <c r="D42" s="220">
        <v>2000</v>
      </c>
      <c r="E42" s="189">
        <f>SUM(E40:E41)</f>
        <v>0</v>
      </c>
      <c r="F42" s="240"/>
      <c r="G42" s="240"/>
      <c r="H42" s="189">
        <f>SUM(H40:H41)</f>
        <v>5500</v>
      </c>
      <c r="I42" s="189">
        <f>SUM(I40:I41)</f>
        <v>2000</v>
      </c>
      <c r="J42" s="109">
        <f>SUM(J40:J40)</f>
        <v>1000</v>
      </c>
      <c r="K42" s="109">
        <f>SUM(K40:K40)</f>
        <v>3350</v>
      </c>
      <c r="L42" s="119">
        <f>SUM(L40:L41)</f>
        <v>0</v>
      </c>
    </row>
    <row r="43" spans="1:16" x14ac:dyDescent="0.25">
      <c r="A43" s="19"/>
      <c r="B43" s="20"/>
      <c r="C43" s="205"/>
      <c r="D43" s="228"/>
      <c r="E43" s="190"/>
      <c r="F43" s="241"/>
      <c r="G43" s="241"/>
      <c r="H43" s="190"/>
      <c r="I43" s="190"/>
      <c r="J43" s="168"/>
      <c r="K43" s="155"/>
      <c r="L43" s="128"/>
    </row>
    <row r="44" spans="1:16" x14ac:dyDescent="0.25">
      <c r="A44" s="22" t="str">
        <f>"Övriga rörelseintäkter"</f>
        <v>Övriga rörelseintäkter</v>
      </c>
      <c r="B44" s="6"/>
      <c r="C44" s="203"/>
      <c r="D44" s="229"/>
      <c r="E44" s="188"/>
      <c r="F44" s="239"/>
      <c r="G44" s="239"/>
      <c r="H44" s="188"/>
      <c r="I44" s="188"/>
      <c r="J44" s="6"/>
      <c r="K44" s="153"/>
      <c r="L44" s="129"/>
    </row>
    <row r="45" spans="1:16" x14ac:dyDescent="0.25">
      <c r="A45" s="186" t="s">
        <v>137</v>
      </c>
      <c r="B45" s="6" t="s">
        <v>138</v>
      </c>
      <c r="C45" s="203"/>
      <c r="D45" s="229"/>
      <c r="E45" s="188">
        <v>22000</v>
      </c>
      <c r="F45" s="239"/>
      <c r="G45" s="239"/>
      <c r="H45" s="188"/>
      <c r="I45" s="188"/>
      <c r="J45" s="6"/>
      <c r="K45" s="153"/>
      <c r="L45" s="129"/>
    </row>
    <row r="46" spans="1:16" x14ac:dyDescent="0.25">
      <c r="A46" s="186" t="str">
        <f>"3990"</f>
        <v>3990</v>
      </c>
      <c r="B46" s="5" t="str">
        <f>"Övr ersättn och intäkter"</f>
        <v>Övr ersättn och intäkter</v>
      </c>
      <c r="C46" s="210"/>
      <c r="D46" s="218"/>
      <c r="E46" s="188">
        <v>9363</v>
      </c>
      <c r="F46" s="239"/>
      <c r="G46" s="239"/>
      <c r="H46" s="188"/>
      <c r="I46" s="188"/>
      <c r="J46" s="169">
        <v>11103</v>
      </c>
      <c r="K46" s="153"/>
      <c r="L46" s="127"/>
    </row>
    <row r="47" spans="1:16" x14ac:dyDescent="0.25">
      <c r="A47" s="186" t="str">
        <f>"3992"</f>
        <v>3992</v>
      </c>
      <c r="B47" s="5" t="s">
        <v>28</v>
      </c>
      <c r="C47" s="210"/>
      <c r="D47" s="218"/>
      <c r="E47" s="188"/>
      <c r="F47" s="239"/>
      <c r="G47" s="239"/>
      <c r="H47" s="188"/>
      <c r="I47" s="188"/>
      <c r="J47" s="169"/>
      <c r="K47" s="153"/>
      <c r="L47" s="127"/>
    </row>
    <row r="48" spans="1:16" x14ac:dyDescent="0.25">
      <c r="A48" s="187">
        <v>3680</v>
      </c>
      <c r="B48" s="6" t="s">
        <v>29</v>
      </c>
      <c r="C48" s="210"/>
      <c r="D48" s="218"/>
      <c r="E48" s="188"/>
      <c r="F48" s="239"/>
      <c r="G48" s="239"/>
      <c r="H48" s="188"/>
      <c r="I48" s="188"/>
      <c r="J48" s="169"/>
      <c r="K48" s="153"/>
      <c r="L48" s="129"/>
    </row>
    <row r="49" spans="1:64" s="1" customFormat="1" ht="15.75" thickBot="1" x14ac:dyDescent="0.3">
      <c r="A49" s="27" t="str">
        <f>"S:a Övriga rörelseintäkter"</f>
        <v>S:a Övriga rörelseintäkter</v>
      </c>
      <c r="B49" s="14"/>
      <c r="C49" s="212">
        <f>SUM(C46:C48)</f>
        <v>0</v>
      </c>
      <c r="D49" s="220">
        <v>0</v>
      </c>
      <c r="E49" s="170">
        <f>SUM(E45:E48)</f>
        <v>31363</v>
      </c>
      <c r="F49" s="240"/>
      <c r="G49" s="240"/>
      <c r="H49" s="170">
        <f>SUM(H46:H48)</f>
        <v>0</v>
      </c>
      <c r="I49" s="170">
        <f>SUM(I46:I48)</f>
        <v>0</v>
      </c>
      <c r="J49" s="170">
        <f>SUM(J46:J48)</f>
        <v>11103</v>
      </c>
      <c r="K49" s="109">
        <f>SUM(K46:K48)</f>
        <v>0</v>
      </c>
      <c r="L49" s="119">
        <f>SUM(L46:L48)</f>
        <v>0</v>
      </c>
    </row>
    <row r="50" spans="1:64" x14ac:dyDescent="0.25">
      <c r="A50" s="19"/>
      <c r="B50" s="20"/>
      <c r="C50" s="205"/>
      <c r="D50" s="228"/>
      <c r="E50" s="190"/>
      <c r="F50" s="241"/>
      <c r="G50" s="241"/>
      <c r="H50" s="190"/>
      <c r="I50" s="190"/>
      <c r="J50" s="168"/>
      <c r="K50" s="155"/>
      <c r="L50" s="128"/>
    </row>
    <row r="51" spans="1:64" x14ac:dyDescent="0.25">
      <c r="A51" s="26"/>
      <c r="B51" s="6"/>
      <c r="C51" s="203"/>
      <c r="D51" s="229"/>
      <c r="E51" s="188"/>
      <c r="F51" s="239"/>
      <c r="G51" s="239"/>
      <c r="H51" s="188"/>
      <c r="I51" s="188"/>
      <c r="J51" s="6"/>
      <c r="K51" s="153"/>
      <c r="L51" s="129"/>
    </row>
    <row r="52" spans="1:64" s="2" customFormat="1" ht="15.75" thickBot="1" x14ac:dyDescent="0.3">
      <c r="A52" s="32" t="str">
        <f>"S:a Rörelseintäkter och lagerförändring"</f>
        <v>S:a Rörelseintäkter och lagerförändring</v>
      </c>
      <c r="B52" s="33"/>
      <c r="C52" s="147">
        <f>SUM(C37+C42+C49)</f>
        <v>570500</v>
      </c>
      <c r="D52" s="163">
        <v>376900</v>
      </c>
      <c r="E52" s="163">
        <f>E37+E42+E49</f>
        <v>525098.75</v>
      </c>
      <c r="F52" s="242"/>
      <c r="G52" s="242"/>
      <c r="H52" s="163">
        <f>H37+H42+H49</f>
        <v>577237.75</v>
      </c>
      <c r="I52" s="163">
        <f>I37+I42+I49</f>
        <v>475728</v>
      </c>
      <c r="J52" s="147">
        <f>J37+J42+J49</f>
        <v>434232.33</v>
      </c>
      <c r="K52" s="112">
        <f>K37+K42+K49</f>
        <v>552456</v>
      </c>
      <c r="L52" s="111">
        <f>L37+L42+L49</f>
        <v>411883.5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 x14ac:dyDescent="0.25">
      <c r="A53" s="19"/>
      <c r="B53" s="20"/>
      <c r="C53" s="205"/>
      <c r="D53" s="228"/>
      <c r="E53" s="190"/>
      <c r="F53" s="241"/>
      <c r="G53" s="241"/>
      <c r="H53" s="190"/>
      <c r="I53" s="190"/>
      <c r="J53" s="168"/>
      <c r="K53" s="155"/>
      <c r="L53" s="128"/>
    </row>
    <row r="54" spans="1:64" x14ac:dyDescent="0.25">
      <c r="A54" s="22" t="str">
        <f>"Rörelsens kostnader"</f>
        <v>Rörelsens kostnader</v>
      </c>
      <c r="B54" s="6"/>
      <c r="C54" s="203"/>
      <c r="D54" s="229"/>
      <c r="E54" s="188"/>
      <c r="F54" s="239"/>
      <c r="G54" s="239"/>
      <c r="H54" s="188"/>
      <c r="I54" s="188"/>
      <c r="J54" s="6"/>
      <c r="K54" s="153"/>
      <c r="L54" s="129"/>
    </row>
    <row r="55" spans="1:64" x14ac:dyDescent="0.25">
      <c r="A55" s="22" t="str">
        <f>"Råvaror och förnödenheter mm"</f>
        <v>Råvaror och förnödenheter mm</v>
      </c>
      <c r="B55" s="6"/>
      <c r="C55" s="203"/>
      <c r="D55" s="229"/>
      <c r="E55" s="188"/>
      <c r="F55" s="239"/>
      <c r="G55" s="239"/>
      <c r="H55" s="188"/>
      <c r="I55" s="188"/>
      <c r="J55" s="6"/>
      <c r="K55" s="153"/>
      <c r="L55" s="129"/>
    </row>
    <row r="56" spans="1:64" x14ac:dyDescent="0.25">
      <c r="A56" s="24" t="s">
        <v>139</v>
      </c>
      <c r="B56" s="5" t="s">
        <v>140</v>
      </c>
      <c r="C56" s="210">
        <v>-1000</v>
      </c>
      <c r="D56" s="218"/>
      <c r="E56" s="188">
        <v>-902.8</v>
      </c>
      <c r="F56" s="239">
        <f t="shared" ref="F56:F78" si="2">-(D56-E56)</f>
        <v>-902.8</v>
      </c>
      <c r="G56" s="239"/>
      <c r="H56" s="188"/>
      <c r="I56" s="188"/>
      <c r="J56" s="171"/>
      <c r="K56" s="153"/>
      <c r="L56" s="127"/>
    </row>
    <row r="57" spans="1:64" x14ac:dyDescent="0.25">
      <c r="A57" s="24" t="str">
        <f>"4011"</f>
        <v>4011</v>
      </c>
      <c r="B57" s="5" t="str">
        <f>"Anmälningsavgifter"</f>
        <v>Anmälningsavgifter</v>
      </c>
      <c r="C57" s="210">
        <v>-50000</v>
      </c>
      <c r="D57" s="218">
        <v>-32000</v>
      </c>
      <c r="E57" s="188">
        <v>-47558</v>
      </c>
      <c r="F57" s="239">
        <f t="shared" si="2"/>
        <v>-15558</v>
      </c>
      <c r="G57" s="239"/>
      <c r="H57" s="188">
        <v>-36647</v>
      </c>
      <c r="I57" s="188">
        <v>-32651</v>
      </c>
      <c r="J57" s="171">
        <v>-22460</v>
      </c>
      <c r="K57" s="153">
        <v>-38723</v>
      </c>
      <c r="L57" s="127">
        <v>-44933</v>
      </c>
    </row>
    <row r="58" spans="1:64" x14ac:dyDescent="0.25">
      <c r="A58" s="24" t="str">
        <f>"4012"</f>
        <v>4012</v>
      </c>
      <c r="B58" s="5" t="str">
        <f>"transportkostnader"</f>
        <v>transportkostnader</v>
      </c>
      <c r="C58" s="210">
        <v>-20000</v>
      </c>
      <c r="D58" s="218">
        <v>-8000</v>
      </c>
      <c r="E58" s="188">
        <v>-5802</v>
      </c>
      <c r="F58" s="255">
        <f t="shared" si="2"/>
        <v>2198</v>
      </c>
      <c r="G58" s="239"/>
      <c r="H58" s="188"/>
      <c r="I58" s="188">
        <v>-4867</v>
      </c>
      <c r="J58" s="171">
        <v>-3587.5</v>
      </c>
      <c r="K58" s="153">
        <v>-3897.5</v>
      </c>
      <c r="L58" s="127">
        <v>-10378</v>
      </c>
    </row>
    <row r="59" spans="1:64" x14ac:dyDescent="0.25">
      <c r="A59" s="24" t="str">
        <f>"4013"</f>
        <v>4013</v>
      </c>
      <c r="B59" s="5" t="str">
        <f>"Kost och logi under tävlingar"</f>
        <v>Kost och logi under tävlingar</v>
      </c>
      <c r="C59" s="210">
        <v>-20000</v>
      </c>
      <c r="D59" s="218"/>
      <c r="E59" s="188">
        <v>-48567.06</v>
      </c>
      <c r="F59" s="239">
        <f t="shared" si="2"/>
        <v>-48567.06</v>
      </c>
      <c r="G59" s="239"/>
      <c r="H59" s="188">
        <v>-14830</v>
      </c>
      <c r="I59" s="188">
        <v>-11800</v>
      </c>
      <c r="J59" s="171">
        <v>-5360</v>
      </c>
      <c r="K59" s="153">
        <v>-12490</v>
      </c>
      <c r="L59" s="127">
        <v>-3540</v>
      </c>
    </row>
    <row r="60" spans="1:64" x14ac:dyDescent="0.25">
      <c r="A60" s="24" t="str">
        <f>"4014"</f>
        <v>4014</v>
      </c>
      <c r="B60" s="5" t="str">
        <f>"Övriga tävlingskostnader"</f>
        <v>Övriga tävlingskostnader</v>
      </c>
      <c r="C60" s="210"/>
      <c r="D60" s="218"/>
      <c r="E60" s="188"/>
      <c r="F60" s="239">
        <f t="shared" si="2"/>
        <v>0</v>
      </c>
      <c r="G60" s="239"/>
      <c r="H60" s="188"/>
      <c r="I60" s="188">
        <v>-3114</v>
      </c>
      <c r="J60" s="171"/>
      <c r="K60" s="153"/>
      <c r="L60" s="127"/>
    </row>
    <row r="61" spans="1:64" x14ac:dyDescent="0.25">
      <c r="A61" s="225" t="str">
        <f>"4020"</f>
        <v>4020</v>
      </c>
      <c r="B61" s="224" t="s">
        <v>124</v>
      </c>
      <c r="C61" s="210">
        <v>-6000</v>
      </c>
      <c r="D61" s="218">
        <v>-10000</v>
      </c>
      <c r="E61" s="188">
        <v>-1010</v>
      </c>
      <c r="F61" s="255">
        <f t="shared" si="2"/>
        <v>8990</v>
      </c>
      <c r="G61" s="239"/>
      <c r="H61" s="188">
        <v>-8635</v>
      </c>
      <c r="I61" s="188">
        <v>-8784</v>
      </c>
      <c r="J61" s="171">
        <v>-2060</v>
      </c>
      <c r="K61" s="153">
        <v>-1526</v>
      </c>
      <c r="L61" s="127">
        <v>-4627</v>
      </c>
    </row>
    <row r="62" spans="1:64" x14ac:dyDescent="0.25">
      <c r="A62" s="24" t="str">
        <f>"4021"</f>
        <v>4021</v>
      </c>
      <c r="B62" s="5" t="str">
        <f>"Anmälningsavgifter, Läger"</f>
        <v>Anmälningsavgifter, Läger</v>
      </c>
      <c r="C62" s="210"/>
      <c r="D62" s="218"/>
      <c r="E62" s="188"/>
      <c r="F62" s="239">
        <f t="shared" si="2"/>
        <v>0</v>
      </c>
      <c r="G62" s="239"/>
      <c r="H62" s="188"/>
      <c r="I62" s="188"/>
      <c r="J62" s="171"/>
      <c r="K62" s="153"/>
      <c r="L62" s="127"/>
    </row>
    <row r="63" spans="1:64" x14ac:dyDescent="0.25">
      <c r="A63" s="24" t="str">
        <f>"4022"</f>
        <v>4022</v>
      </c>
      <c r="B63" s="5" t="str">
        <f>"Transportkostnader, Läger"</f>
        <v>Transportkostnader, Läger</v>
      </c>
      <c r="C63" s="210"/>
      <c r="D63" s="218"/>
      <c r="E63" s="188"/>
      <c r="F63" s="239">
        <f t="shared" si="2"/>
        <v>0</v>
      </c>
      <c r="G63" s="239"/>
      <c r="H63" s="188"/>
      <c r="I63" s="188"/>
      <c r="J63" s="171"/>
      <c r="K63" s="153"/>
      <c r="L63" s="127"/>
    </row>
    <row r="64" spans="1:64" x14ac:dyDescent="0.25">
      <c r="A64" s="225" t="s">
        <v>30</v>
      </c>
      <c r="B64" s="224" t="s">
        <v>125</v>
      </c>
      <c r="C64" s="210">
        <v>-5000</v>
      </c>
      <c r="D64" s="218"/>
      <c r="E64" s="188">
        <v>-35531</v>
      </c>
      <c r="F64" s="239">
        <f t="shared" si="2"/>
        <v>-35531</v>
      </c>
      <c r="G64" s="239"/>
      <c r="H64" s="188">
        <v>-40685</v>
      </c>
      <c r="I64" s="188"/>
      <c r="J64" s="171">
        <v>-1700</v>
      </c>
      <c r="K64" s="153"/>
      <c r="L64" s="127"/>
    </row>
    <row r="65" spans="1:17" x14ac:dyDescent="0.25">
      <c r="A65" s="24" t="str">
        <f>"4024"</f>
        <v>4024</v>
      </c>
      <c r="B65" s="5" t="str">
        <f>"SM läger"</f>
        <v>SM läger</v>
      </c>
      <c r="C65" s="210">
        <v>-50000</v>
      </c>
      <c r="D65" s="218">
        <v>-45000</v>
      </c>
      <c r="E65" s="188">
        <v>-45362.8</v>
      </c>
      <c r="F65" s="239">
        <f t="shared" si="2"/>
        <v>-362.80000000000291</v>
      </c>
      <c r="G65" s="239"/>
      <c r="H65" s="188">
        <v>-57295</v>
      </c>
      <c r="I65" s="188">
        <v>-43666</v>
      </c>
      <c r="J65" s="171">
        <v>-33695</v>
      </c>
      <c r="K65" s="153">
        <v>-16960</v>
      </c>
      <c r="L65" s="127">
        <v>-22174</v>
      </c>
    </row>
    <row r="66" spans="1:17" x14ac:dyDescent="0.25">
      <c r="A66" s="225" t="s">
        <v>32</v>
      </c>
      <c r="B66" s="224" t="s">
        <v>126</v>
      </c>
      <c r="C66" s="210">
        <v>-120000</v>
      </c>
      <c r="D66" s="218">
        <v>-40000</v>
      </c>
      <c r="E66" s="188">
        <v>-66249.5</v>
      </c>
      <c r="F66" s="239">
        <f t="shared" si="2"/>
        <v>-26249.5</v>
      </c>
      <c r="G66" s="239"/>
      <c r="H66" s="188">
        <v>-37771</v>
      </c>
      <c r="I66" s="188">
        <v>-35043</v>
      </c>
      <c r="J66" s="171">
        <v>-51908</v>
      </c>
      <c r="K66" s="153">
        <v>-68237</v>
      </c>
      <c r="L66" s="127">
        <v>-44493</v>
      </c>
    </row>
    <row r="67" spans="1:17" x14ac:dyDescent="0.25">
      <c r="A67" s="24" t="str">
        <f>"4110"</f>
        <v>4110</v>
      </c>
      <c r="B67" s="5" t="str">
        <f>"Kostnader Kanotskolan"</f>
        <v>Kostnader Kanotskolan</v>
      </c>
      <c r="C67" s="210">
        <v>-13000</v>
      </c>
      <c r="D67" s="218">
        <v>-15000</v>
      </c>
      <c r="E67" s="188">
        <v>-11894</v>
      </c>
      <c r="F67" s="255">
        <f t="shared" si="2"/>
        <v>3106</v>
      </c>
      <c r="G67" s="239"/>
      <c r="H67" s="188">
        <v>-20019</v>
      </c>
      <c r="I67" s="188">
        <v>-12819.4</v>
      </c>
      <c r="J67" s="171">
        <v>-14874</v>
      </c>
      <c r="K67" s="153">
        <v>-18212</v>
      </c>
      <c r="L67" s="127">
        <v>-8052</v>
      </c>
    </row>
    <row r="68" spans="1:17" x14ac:dyDescent="0.25">
      <c r="A68" s="24" t="s">
        <v>34</v>
      </c>
      <c r="B68" s="256" t="s">
        <v>141</v>
      </c>
      <c r="C68" s="210">
        <v>-6000</v>
      </c>
      <c r="D68" s="218">
        <v>-4000</v>
      </c>
      <c r="E68" s="188">
        <v>0</v>
      </c>
      <c r="F68" s="255">
        <f t="shared" si="2"/>
        <v>4000</v>
      </c>
      <c r="G68" s="239"/>
      <c r="H68" s="188">
        <v>-2800</v>
      </c>
      <c r="I68" s="188">
        <v>-3200</v>
      </c>
      <c r="J68" s="171">
        <v>-4100</v>
      </c>
      <c r="K68" s="153">
        <v>-10300</v>
      </c>
      <c r="L68" s="127">
        <v>-3600</v>
      </c>
    </row>
    <row r="69" spans="1:17" x14ac:dyDescent="0.25">
      <c r="A69" s="24" t="str">
        <f>"4120"</f>
        <v>4120</v>
      </c>
      <c r="B69" s="5" t="str">
        <f>"Kostnad ungdomsverksamhet"</f>
        <v>Kostnad ungdomsverksamhet</v>
      </c>
      <c r="C69" s="210">
        <v>-15000</v>
      </c>
      <c r="D69" s="218">
        <v>-20000</v>
      </c>
      <c r="E69" s="188">
        <v>-14082</v>
      </c>
      <c r="F69" s="255">
        <f t="shared" si="2"/>
        <v>5918</v>
      </c>
      <c r="G69" s="239"/>
      <c r="H69" s="188">
        <v>-32802</v>
      </c>
      <c r="I69" s="188">
        <v>-20082.7</v>
      </c>
      <c r="J69" s="171">
        <v>-15443</v>
      </c>
      <c r="K69" s="153">
        <v>-10865</v>
      </c>
      <c r="L69" s="127">
        <v>-6599</v>
      </c>
    </row>
    <row r="70" spans="1:17" x14ac:dyDescent="0.25">
      <c r="A70" s="24" t="s">
        <v>142</v>
      </c>
      <c r="B70" s="5" t="s">
        <v>37</v>
      </c>
      <c r="C70" s="210">
        <v>-4000</v>
      </c>
      <c r="D70" s="218"/>
      <c r="E70" s="188">
        <v>-14500</v>
      </c>
      <c r="F70" s="239">
        <f t="shared" si="2"/>
        <v>-14500</v>
      </c>
      <c r="G70" s="239"/>
      <c r="H70" s="188">
        <v>-18859</v>
      </c>
      <c r="I70" s="188">
        <v>-10144</v>
      </c>
      <c r="J70" s="171"/>
      <c r="K70" s="153"/>
      <c r="L70" s="127"/>
    </row>
    <row r="71" spans="1:17" x14ac:dyDescent="0.25">
      <c r="A71" s="24" t="s">
        <v>143</v>
      </c>
      <c r="B71" s="5" t="s">
        <v>144</v>
      </c>
      <c r="C71" s="210">
        <v>-5000</v>
      </c>
      <c r="D71" s="218"/>
      <c r="E71" s="188">
        <v>-8635</v>
      </c>
      <c r="F71" s="239">
        <f t="shared" si="2"/>
        <v>-8635</v>
      </c>
      <c r="G71" s="239"/>
      <c r="H71" s="188"/>
      <c r="I71" s="188"/>
      <c r="J71" s="171"/>
      <c r="K71" s="153"/>
      <c r="L71" s="127"/>
    </row>
    <row r="72" spans="1:17" x14ac:dyDescent="0.25">
      <c r="A72" s="24" t="s">
        <v>145</v>
      </c>
      <c r="B72" s="5" t="s">
        <v>146</v>
      </c>
      <c r="C72" s="210">
        <v>-18000</v>
      </c>
      <c r="D72" s="218">
        <v>-15000</v>
      </c>
      <c r="E72" s="188">
        <v>-14495</v>
      </c>
      <c r="F72" s="239">
        <f t="shared" si="2"/>
        <v>505</v>
      </c>
      <c r="G72" s="239"/>
      <c r="H72" s="188"/>
      <c r="I72" s="188"/>
      <c r="J72" s="171"/>
      <c r="K72" s="153"/>
      <c r="L72" s="127"/>
    </row>
    <row r="73" spans="1:17" x14ac:dyDescent="0.25">
      <c r="A73" s="24" t="str">
        <f>"4220"</f>
        <v>4220</v>
      </c>
      <c r="B73" s="5" t="s">
        <v>38</v>
      </c>
      <c r="C73" s="210"/>
      <c r="D73" s="218">
        <v>-150000</v>
      </c>
      <c r="E73" s="188">
        <v>-114563</v>
      </c>
      <c r="F73" s="255">
        <f t="shared" si="2"/>
        <v>35437</v>
      </c>
      <c r="G73" s="239"/>
      <c r="H73" s="188">
        <v>-25146</v>
      </c>
      <c r="I73" s="188">
        <v>-155862.54999999999</v>
      </c>
      <c r="J73" s="171">
        <v>-117887.33</v>
      </c>
      <c r="K73" s="153">
        <v>-72611.98</v>
      </c>
      <c r="L73" s="127">
        <v>-83127</v>
      </c>
      <c r="M73" s="161"/>
      <c r="N73" s="162"/>
      <c r="O73" s="162"/>
      <c r="P73" s="162"/>
      <c r="Q73" s="4"/>
    </row>
    <row r="74" spans="1:17" x14ac:dyDescent="0.25">
      <c r="A74" s="24" t="s">
        <v>39</v>
      </c>
      <c r="B74" s="5" t="s">
        <v>40</v>
      </c>
      <c r="C74" s="210">
        <v>-5000</v>
      </c>
      <c r="D74" s="218"/>
      <c r="E74" s="188"/>
      <c r="F74" s="239">
        <f t="shared" si="2"/>
        <v>0</v>
      </c>
      <c r="G74" s="239"/>
      <c r="H74" s="188">
        <v>-7600</v>
      </c>
      <c r="I74" s="188"/>
      <c r="J74" s="171">
        <v>-2000</v>
      </c>
      <c r="K74" s="153">
        <v>-16508</v>
      </c>
      <c r="L74" s="127">
        <v>-21032</v>
      </c>
    </row>
    <row r="75" spans="1:17" x14ac:dyDescent="0.25">
      <c r="A75" s="24" t="s">
        <v>41</v>
      </c>
      <c r="B75" s="5" t="s">
        <v>42</v>
      </c>
      <c r="C75" s="210"/>
      <c r="D75" s="218"/>
      <c r="E75" s="188"/>
      <c r="F75" s="239">
        <f t="shared" si="2"/>
        <v>0</v>
      </c>
      <c r="G75" s="239"/>
      <c r="H75" s="188"/>
      <c r="I75" s="188"/>
      <c r="J75" s="171"/>
      <c r="K75" s="153">
        <v>-11300</v>
      </c>
      <c r="L75" s="127"/>
    </row>
    <row r="76" spans="1:17" x14ac:dyDescent="0.25">
      <c r="A76" s="24" t="str">
        <f>"4610"</f>
        <v>4610</v>
      </c>
      <c r="B76" s="5" t="str">
        <f>"Mötesverksamhet"</f>
        <v>Mötesverksamhet</v>
      </c>
      <c r="C76" s="210">
        <v>-7000</v>
      </c>
      <c r="D76" s="218">
        <v>-6000</v>
      </c>
      <c r="E76" s="188">
        <v>-7165.2</v>
      </c>
      <c r="F76" s="239">
        <f t="shared" si="2"/>
        <v>-1165.1999999999998</v>
      </c>
      <c r="G76" s="239"/>
      <c r="H76" s="188">
        <v>-1182.45</v>
      </c>
      <c r="I76" s="188">
        <v>-4700</v>
      </c>
      <c r="J76" s="171">
        <v>-8029</v>
      </c>
      <c r="K76" s="153">
        <v>-663</v>
      </c>
      <c r="L76" s="127">
        <v>-223</v>
      </c>
    </row>
    <row r="77" spans="1:17" x14ac:dyDescent="0.25">
      <c r="A77" s="24" t="s">
        <v>43</v>
      </c>
      <c r="B77" s="5" t="s">
        <v>44</v>
      </c>
      <c r="C77" s="210">
        <v>-10000</v>
      </c>
      <c r="D77" s="218"/>
      <c r="E77" s="188"/>
      <c r="F77" s="239">
        <f t="shared" si="2"/>
        <v>0</v>
      </c>
      <c r="G77" s="239"/>
      <c r="H77" s="188"/>
      <c r="I77" s="188"/>
      <c r="J77" s="171"/>
      <c r="K77" s="153"/>
      <c r="L77" s="127"/>
    </row>
    <row r="78" spans="1:17" x14ac:dyDescent="0.25">
      <c r="A78" s="24" t="str">
        <f>"4710"</f>
        <v>4710</v>
      </c>
      <c r="B78" s="5" t="str">
        <f>"Märken och priser"</f>
        <v>Märken och priser</v>
      </c>
      <c r="C78" s="210">
        <v>-5000</v>
      </c>
      <c r="D78" s="218">
        <v>-4000</v>
      </c>
      <c r="E78" s="188">
        <v>-6469</v>
      </c>
      <c r="F78" s="239">
        <f t="shared" si="2"/>
        <v>-2469</v>
      </c>
      <c r="G78" s="239"/>
      <c r="H78" s="188">
        <v>-4401</v>
      </c>
      <c r="I78" s="188">
        <v>-4127</v>
      </c>
      <c r="J78" s="171">
        <v>-3630</v>
      </c>
      <c r="K78" s="153">
        <v>-3710</v>
      </c>
      <c r="L78" s="127">
        <v>-6310</v>
      </c>
    </row>
    <row r="79" spans="1:17" x14ac:dyDescent="0.25">
      <c r="A79" s="24" t="str">
        <f>"4800"</f>
        <v>4800</v>
      </c>
      <c r="B79" s="5" t="str">
        <f>"Medlemmarnas pengar"</f>
        <v>Medlemmarnas pengar</v>
      </c>
      <c r="C79" s="210"/>
      <c r="D79" s="218"/>
      <c r="E79" s="188"/>
      <c r="F79" s="239"/>
      <c r="G79" s="239"/>
      <c r="H79" s="188"/>
      <c r="I79" s="188"/>
      <c r="J79" s="171"/>
      <c r="K79" s="153"/>
      <c r="L79" s="127"/>
    </row>
    <row r="80" spans="1:17" x14ac:dyDescent="0.25">
      <c r="A80" s="26"/>
      <c r="B80" s="6"/>
      <c r="C80" s="210"/>
      <c r="D80" s="218"/>
      <c r="E80" s="188"/>
      <c r="F80" s="239"/>
      <c r="G80" s="239"/>
      <c r="H80" s="188"/>
      <c r="I80" s="188"/>
      <c r="J80" s="6"/>
      <c r="K80" s="153"/>
      <c r="L80" s="129"/>
    </row>
    <row r="81" spans="1:12" s="1" customFormat="1" ht="15.75" thickBot="1" x14ac:dyDescent="0.3">
      <c r="A81" s="27" t="str">
        <f>"S:a Råvaror och förnödenheter mm"</f>
        <v>S:a Råvaror och förnödenheter mm</v>
      </c>
      <c r="B81" s="14"/>
      <c r="C81" s="212">
        <f>SUM(C57:C79)</f>
        <v>-359000</v>
      </c>
      <c r="D81" s="220">
        <v>-334000</v>
      </c>
      <c r="E81" s="189">
        <f>SUM(E56:E79)</f>
        <v>-442786.36</v>
      </c>
      <c r="F81" s="240"/>
      <c r="G81" s="240"/>
      <c r="H81" s="189">
        <f>SUM(H56:H79)</f>
        <v>-308672.45</v>
      </c>
      <c r="I81" s="189">
        <f>SUM(I56:I79)</f>
        <v>-350860.65</v>
      </c>
      <c r="J81" s="170">
        <f>SUM(J56:J79)</f>
        <v>-286733.83</v>
      </c>
      <c r="K81" s="109">
        <f>SUM(K56:K79)</f>
        <v>-286003.48</v>
      </c>
      <c r="L81" s="119">
        <f>SUM(L56:L79)</f>
        <v>-259088</v>
      </c>
    </row>
    <row r="82" spans="1:12" x14ac:dyDescent="0.25">
      <c r="A82" s="19"/>
      <c r="B82" s="20"/>
      <c r="C82" s="205"/>
      <c r="D82" s="228"/>
      <c r="E82" s="190"/>
      <c r="F82" s="241"/>
      <c r="G82" s="241"/>
      <c r="H82" s="190"/>
      <c r="I82" s="190"/>
      <c r="J82" s="168"/>
      <c r="K82" s="155"/>
      <c r="L82" s="128"/>
    </row>
    <row r="83" spans="1:12" x14ac:dyDescent="0.25">
      <c r="A83" s="26"/>
      <c r="B83" s="6"/>
      <c r="C83" s="203"/>
      <c r="D83" s="229"/>
      <c r="E83" s="188"/>
      <c r="F83" s="239"/>
      <c r="G83" s="239"/>
      <c r="H83" s="188"/>
      <c r="I83" s="188"/>
      <c r="J83" s="6"/>
      <c r="K83" s="153"/>
      <c r="L83" s="129"/>
    </row>
    <row r="84" spans="1:12" s="1" customFormat="1" ht="15.75" thickBot="1" x14ac:dyDescent="0.3">
      <c r="A84" s="27" t="str">
        <f>"Bruttovinst"</f>
        <v>Bruttovinst</v>
      </c>
      <c r="B84" s="14"/>
      <c r="C84" s="189">
        <f>C52+C81</f>
        <v>211500</v>
      </c>
      <c r="D84" s="189">
        <f>D52+D81</f>
        <v>42900</v>
      </c>
      <c r="E84" s="189">
        <f>E52+E81</f>
        <v>82312.390000000014</v>
      </c>
      <c r="F84" s="240"/>
      <c r="G84" s="240"/>
      <c r="H84" s="189">
        <f>H52+H81</f>
        <v>268565.3</v>
      </c>
      <c r="I84" s="189">
        <f>I52+I81</f>
        <v>124867.34999999998</v>
      </c>
      <c r="J84" s="167">
        <f>J52+J81</f>
        <v>147498.5</v>
      </c>
      <c r="K84" s="154">
        <f>K52+K81</f>
        <v>266452.52</v>
      </c>
      <c r="L84" s="119">
        <f>L52+L81</f>
        <v>152795.5</v>
      </c>
    </row>
    <row r="85" spans="1:12" x14ac:dyDescent="0.25">
      <c r="A85" s="19"/>
      <c r="B85" s="20"/>
      <c r="C85" s="205"/>
      <c r="D85" s="228"/>
      <c r="E85" s="190"/>
      <c r="F85" s="241"/>
      <c r="G85" s="241"/>
      <c r="H85" s="190"/>
      <c r="I85" s="190"/>
      <c r="J85" s="168"/>
      <c r="K85" s="155"/>
      <c r="L85" s="128"/>
    </row>
    <row r="86" spans="1:12" x14ac:dyDescent="0.25">
      <c r="A86" s="22" t="str">
        <f>"Övriga externa kostnader"</f>
        <v>Övriga externa kostnader</v>
      </c>
      <c r="B86" s="6"/>
      <c r="C86" s="203"/>
      <c r="D86" s="229"/>
      <c r="E86" s="188"/>
      <c r="F86" s="239"/>
      <c r="G86" s="239"/>
      <c r="H86" s="188"/>
      <c r="I86" s="188"/>
      <c r="J86" s="6"/>
      <c r="K86" s="153"/>
      <c r="L86" s="129"/>
    </row>
    <row r="87" spans="1:12" x14ac:dyDescent="0.25">
      <c r="A87" s="22"/>
      <c r="B87" s="192"/>
      <c r="C87" s="249"/>
      <c r="D87" s="250"/>
      <c r="E87" s="251"/>
      <c r="F87" s="252"/>
      <c r="G87" s="252"/>
      <c r="H87" s="251"/>
      <c r="I87" s="251"/>
      <c r="J87" s="192"/>
      <c r="K87" s="253"/>
      <c r="L87" s="254"/>
    </row>
    <row r="88" spans="1:12" x14ac:dyDescent="0.25">
      <c r="A88" s="24" t="s">
        <v>147</v>
      </c>
      <c r="B88" s="5" t="s">
        <v>148</v>
      </c>
      <c r="C88" s="210"/>
      <c r="D88" s="218"/>
      <c r="E88" s="188"/>
      <c r="F88" s="239">
        <f t="shared" ref="F88:F111" si="3">-(D88-E88)</f>
        <v>0</v>
      </c>
      <c r="G88" s="239"/>
      <c r="H88" s="188">
        <v>-7077</v>
      </c>
      <c r="I88" s="188"/>
      <c r="J88" s="171"/>
      <c r="K88" s="153"/>
      <c r="L88" s="127"/>
    </row>
    <row r="89" spans="1:12" x14ac:dyDescent="0.25">
      <c r="A89" s="24" t="str">
        <f>"5110"</f>
        <v>5110</v>
      </c>
      <c r="B89" s="5" t="str">
        <f>"Arrende"</f>
        <v>Arrende</v>
      </c>
      <c r="C89" s="210">
        <v>-4300</v>
      </c>
      <c r="D89" s="218">
        <v>-4000</v>
      </c>
      <c r="E89" s="188">
        <v>-4119</v>
      </c>
      <c r="F89" s="239">
        <f t="shared" si="3"/>
        <v>-119</v>
      </c>
      <c r="G89" s="239"/>
      <c r="H89" s="188">
        <v>-4051</v>
      </c>
      <c r="I89" s="188">
        <v>-4004</v>
      </c>
      <c r="J89" s="171">
        <v>-4000</v>
      </c>
      <c r="K89" s="153">
        <v>-1643</v>
      </c>
      <c r="L89" s="127">
        <v>-1643</v>
      </c>
    </row>
    <row r="90" spans="1:12" x14ac:dyDescent="0.25">
      <c r="A90" s="24" t="str">
        <f>"5120"</f>
        <v>5120</v>
      </c>
      <c r="B90" s="5" t="str">
        <f>"Elektricitet"</f>
        <v>Elektricitet</v>
      </c>
      <c r="C90" s="210">
        <v>-30000</v>
      </c>
      <c r="D90" s="218">
        <v>-25000</v>
      </c>
      <c r="E90" s="188">
        <v>-24974</v>
      </c>
      <c r="F90" s="239">
        <f t="shared" si="3"/>
        <v>26</v>
      </c>
      <c r="G90" s="239"/>
      <c r="H90" s="188">
        <v>-20172</v>
      </c>
      <c r="I90" s="188">
        <v>-15738</v>
      </c>
      <c r="J90" s="171">
        <v>-21431</v>
      </c>
      <c r="K90" s="153">
        <v>-24526</v>
      </c>
      <c r="L90" s="127">
        <v>-28939</v>
      </c>
    </row>
    <row r="91" spans="1:12" x14ac:dyDescent="0.25">
      <c r="A91" s="24" t="str">
        <f>"5140"</f>
        <v>5140</v>
      </c>
      <c r="B91" s="5" t="str">
        <f>"Vatten och sophämtning"</f>
        <v>Vatten och sophämtning</v>
      </c>
      <c r="C91" s="210">
        <v>-10000</v>
      </c>
      <c r="D91" s="218">
        <v>-7000</v>
      </c>
      <c r="E91" s="188">
        <v>-9718</v>
      </c>
      <c r="F91" s="239">
        <f t="shared" si="3"/>
        <v>-2718</v>
      </c>
      <c r="G91" s="239"/>
      <c r="H91" s="188">
        <v>-6787</v>
      </c>
      <c r="I91" s="188">
        <v>-4833</v>
      </c>
      <c r="J91" s="171">
        <v>-6464</v>
      </c>
      <c r="K91" s="153">
        <v>-5849</v>
      </c>
      <c r="L91" s="127">
        <v>-6178</v>
      </c>
    </row>
    <row r="92" spans="1:12" x14ac:dyDescent="0.25">
      <c r="A92" s="24" t="s">
        <v>45</v>
      </c>
      <c r="B92" s="5" t="s">
        <v>46</v>
      </c>
      <c r="C92" s="210"/>
      <c r="D92" s="218">
        <v>-4000</v>
      </c>
      <c r="E92" s="188"/>
      <c r="F92" s="255">
        <f t="shared" si="3"/>
        <v>4000</v>
      </c>
      <c r="G92" s="239"/>
      <c r="I92" s="188"/>
      <c r="J92" s="171">
        <v>-8039.38</v>
      </c>
      <c r="K92" s="153"/>
      <c r="L92" s="127"/>
    </row>
    <row r="93" spans="1:12" x14ac:dyDescent="0.25">
      <c r="A93" s="24" t="str">
        <f>"5170"</f>
        <v>5170</v>
      </c>
      <c r="B93" s="5" t="str">
        <f>"Fastighetsunderhåll"</f>
        <v>Fastighetsunderhåll</v>
      </c>
      <c r="C93" s="210">
        <v>-10000</v>
      </c>
      <c r="D93" s="218">
        <v>-100000</v>
      </c>
      <c r="E93" s="188">
        <v>-113866.87</v>
      </c>
      <c r="F93" s="239">
        <f t="shared" si="3"/>
        <v>-13866.869999999995</v>
      </c>
      <c r="G93" s="239"/>
      <c r="H93" s="188">
        <v>-135001.76999999999</v>
      </c>
      <c r="I93" s="188">
        <v>-1287</v>
      </c>
      <c r="J93" s="171">
        <v>-5540.5</v>
      </c>
      <c r="K93" s="153">
        <v>-18240</v>
      </c>
      <c r="L93" s="127">
        <v>-53805</v>
      </c>
    </row>
    <row r="94" spans="1:12" x14ac:dyDescent="0.25">
      <c r="A94" s="24" t="s">
        <v>47</v>
      </c>
      <c r="B94" s="5" t="s">
        <v>48</v>
      </c>
      <c r="C94" s="210"/>
      <c r="D94" s="218"/>
      <c r="E94" s="188"/>
      <c r="F94" s="239">
        <f t="shared" si="3"/>
        <v>0</v>
      </c>
      <c r="G94" s="239"/>
      <c r="H94" s="188"/>
      <c r="I94" s="188"/>
      <c r="J94" s="171">
        <v>-4006</v>
      </c>
      <c r="K94" s="153">
        <v>-61624.5</v>
      </c>
      <c r="L94" s="127"/>
    </row>
    <row r="95" spans="1:12" x14ac:dyDescent="0.25">
      <c r="A95" s="24" t="str">
        <f>"5410"</f>
        <v>5410</v>
      </c>
      <c r="B95" s="5" t="str">
        <f>"Förbrukningsinventarier"</f>
        <v>Förbrukningsinventarier</v>
      </c>
      <c r="C95" s="210">
        <v>-15000</v>
      </c>
      <c r="D95" s="218">
        <v>-60000</v>
      </c>
      <c r="E95" s="188">
        <v>-43884.6</v>
      </c>
      <c r="F95" s="255">
        <f t="shared" si="3"/>
        <v>16115.400000000001</v>
      </c>
      <c r="G95" s="239"/>
      <c r="H95" s="188">
        <v>-2639</v>
      </c>
      <c r="I95" s="188">
        <v>-13444</v>
      </c>
      <c r="J95" s="171">
        <v>-1795</v>
      </c>
      <c r="K95" s="153">
        <v>-1038</v>
      </c>
      <c r="L95" s="127">
        <v>-1675</v>
      </c>
    </row>
    <row r="96" spans="1:12" x14ac:dyDescent="0.25">
      <c r="A96" s="24" t="str">
        <f>"5420"</f>
        <v>5420</v>
      </c>
      <c r="B96" s="5" t="str">
        <f>"Programvaror"</f>
        <v>Programvaror</v>
      </c>
      <c r="C96" s="210"/>
      <c r="D96" s="218"/>
      <c r="E96" s="188"/>
      <c r="F96" s="239">
        <f t="shared" si="3"/>
        <v>0</v>
      </c>
      <c r="G96" s="239"/>
      <c r="H96" s="188"/>
      <c r="I96" s="188"/>
      <c r="J96" s="171"/>
      <c r="K96" s="153">
        <v>-1265</v>
      </c>
      <c r="L96" s="127">
        <v>-1200</v>
      </c>
    </row>
    <row r="97" spans="1:12" x14ac:dyDescent="0.25">
      <c r="A97" s="24" t="s">
        <v>49</v>
      </c>
      <c r="B97" s="5" t="s">
        <v>50</v>
      </c>
      <c r="C97" s="210">
        <v>-1500</v>
      </c>
      <c r="D97" s="218">
        <v>-3000</v>
      </c>
      <c r="E97" s="188">
        <v>-1525.8</v>
      </c>
      <c r="F97" s="255">
        <f t="shared" si="3"/>
        <v>1474.2</v>
      </c>
      <c r="G97" s="239"/>
      <c r="H97" s="188">
        <v>-6039.33</v>
      </c>
      <c r="I97" s="188">
        <v>-1616</v>
      </c>
      <c r="J97" s="171">
        <v>-3556</v>
      </c>
      <c r="K97" s="153"/>
      <c r="L97" s="127"/>
    </row>
    <row r="98" spans="1:12" x14ac:dyDescent="0.25">
      <c r="A98" s="24" t="str">
        <f>"5500"</f>
        <v>5500</v>
      </c>
      <c r="B98" s="5" t="str">
        <f>"Kanotunderhåll"</f>
        <v>Kanotunderhåll</v>
      </c>
      <c r="C98" s="210">
        <v>-10000</v>
      </c>
      <c r="D98" s="218">
        <v>-6000</v>
      </c>
      <c r="E98" s="188">
        <v>-1752.8</v>
      </c>
      <c r="F98" s="255">
        <f t="shared" si="3"/>
        <v>4247.2</v>
      </c>
      <c r="G98" s="239"/>
      <c r="H98" s="188">
        <v>0</v>
      </c>
      <c r="I98" s="188"/>
      <c r="J98" s="171">
        <v>-2258</v>
      </c>
      <c r="K98" s="153">
        <v>-4670</v>
      </c>
      <c r="L98" s="127">
        <v>-1400</v>
      </c>
    </row>
    <row r="99" spans="1:12" x14ac:dyDescent="0.25">
      <c r="A99" s="24" t="str">
        <f>"5611"</f>
        <v>5611</v>
      </c>
      <c r="B99" s="5" t="s">
        <v>51</v>
      </c>
      <c r="C99" s="210">
        <v>-3000</v>
      </c>
      <c r="D99" s="218">
        <v>-1500</v>
      </c>
      <c r="E99" s="188">
        <v>-2789.82</v>
      </c>
      <c r="F99" s="239">
        <f t="shared" si="3"/>
        <v>-1289.8200000000002</v>
      </c>
      <c r="G99" s="239"/>
      <c r="H99" s="188">
        <v>1414.08</v>
      </c>
      <c r="I99" s="188">
        <v>-875</v>
      </c>
      <c r="J99" s="171">
        <v>-1569</v>
      </c>
      <c r="K99" s="153">
        <v>-573</v>
      </c>
      <c r="L99" s="127">
        <v>-1867</v>
      </c>
    </row>
    <row r="100" spans="1:12" x14ac:dyDescent="0.25">
      <c r="A100" s="24" t="str">
        <f>"5612"</f>
        <v>5612</v>
      </c>
      <c r="B100" s="5" t="str">
        <f>"Försäkring"</f>
        <v>Försäkring</v>
      </c>
      <c r="C100" s="210">
        <v>-25000</v>
      </c>
      <c r="D100" s="218">
        <v>-30000</v>
      </c>
      <c r="E100" s="188">
        <v>-21275</v>
      </c>
      <c r="F100" s="255">
        <f t="shared" si="3"/>
        <v>8725</v>
      </c>
      <c r="G100" s="239"/>
      <c r="H100" s="188">
        <v>-16185</v>
      </c>
      <c r="I100" s="188">
        <v>-7266</v>
      </c>
      <c r="J100" s="171">
        <v>-28098</v>
      </c>
      <c r="K100" s="153">
        <v>-27736</v>
      </c>
      <c r="L100" s="127">
        <v>-43706</v>
      </c>
    </row>
    <row r="101" spans="1:12" x14ac:dyDescent="0.25">
      <c r="A101" s="24" t="s">
        <v>52</v>
      </c>
      <c r="B101" s="5" t="s">
        <v>53</v>
      </c>
      <c r="C101" s="210"/>
      <c r="D101" s="218">
        <v>-1000</v>
      </c>
      <c r="E101" s="188"/>
      <c r="F101" s="255">
        <f t="shared" si="3"/>
        <v>1000</v>
      </c>
      <c r="G101" s="239"/>
      <c r="H101" s="188"/>
      <c r="I101" s="188"/>
      <c r="J101" s="171">
        <v>-4371</v>
      </c>
      <c r="K101" s="153"/>
      <c r="L101" s="127">
        <v>-400</v>
      </c>
    </row>
    <row r="102" spans="1:12" x14ac:dyDescent="0.25">
      <c r="A102" s="24"/>
      <c r="B102" s="5"/>
      <c r="C102" s="210"/>
      <c r="D102" s="218"/>
      <c r="E102" s="188"/>
      <c r="F102" s="255">
        <f t="shared" si="3"/>
        <v>0</v>
      </c>
      <c r="G102" s="239"/>
      <c r="H102" s="188"/>
      <c r="I102" s="188"/>
      <c r="J102" s="171"/>
      <c r="K102" s="153">
        <v>-315</v>
      </c>
      <c r="L102" s="127"/>
    </row>
    <row r="103" spans="1:12" x14ac:dyDescent="0.25">
      <c r="A103" s="24" t="str">
        <f>"5620"</f>
        <v>5620</v>
      </c>
      <c r="B103" s="5" t="s">
        <v>54</v>
      </c>
      <c r="C103" s="210">
        <v>-1500</v>
      </c>
      <c r="D103" s="218">
        <v>-3000</v>
      </c>
      <c r="E103" s="188">
        <v>-1445.9</v>
      </c>
      <c r="F103" s="255">
        <f t="shared" si="3"/>
        <v>1554.1</v>
      </c>
      <c r="G103" s="239"/>
      <c r="H103" s="188">
        <v>-49893</v>
      </c>
      <c r="I103" s="188">
        <v>-2295</v>
      </c>
      <c r="J103" s="171">
        <v>-8015</v>
      </c>
      <c r="K103" s="153">
        <v>-1476</v>
      </c>
      <c r="L103" s="127">
        <v>-1721</v>
      </c>
    </row>
    <row r="104" spans="1:12" x14ac:dyDescent="0.25">
      <c r="A104" s="24" t="s">
        <v>55</v>
      </c>
      <c r="B104" s="5" t="s">
        <v>56</v>
      </c>
      <c r="C104" s="210"/>
      <c r="D104" s="218"/>
      <c r="E104" s="188"/>
      <c r="F104" s="255">
        <f t="shared" si="3"/>
        <v>0</v>
      </c>
      <c r="G104" s="239"/>
      <c r="H104" s="188"/>
      <c r="I104" s="188"/>
      <c r="J104" s="171"/>
      <c r="K104" s="153"/>
      <c r="L104" s="127"/>
    </row>
    <row r="105" spans="1:12" x14ac:dyDescent="0.25">
      <c r="A105" s="24" t="str">
        <f>"6110"</f>
        <v>6110</v>
      </c>
      <c r="B105" s="5" t="str">
        <f>"Kontorsmaterial"</f>
        <v>Kontorsmaterial</v>
      </c>
      <c r="C105" s="210">
        <v>-500</v>
      </c>
      <c r="D105" s="218">
        <v>-1000</v>
      </c>
      <c r="E105" s="188"/>
      <c r="F105" s="255">
        <f t="shared" si="3"/>
        <v>1000</v>
      </c>
      <c r="G105" s="239"/>
      <c r="H105" s="188"/>
      <c r="I105" s="188">
        <v>-148</v>
      </c>
      <c r="J105" s="171">
        <v>-1733</v>
      </c>
      <c r="K105" s="153">
        <v>-138</v>
      </c>
      <c r="L105" s="127">
        <v>-115</v>
      </c>
    </row>
    <row r="106" spans="1:12" x14ac:dyDescent="0.25">
      <c r="A106" s="24" t="str">
        <f>"6210"</f>
        <v>6210</v>
      </c>
      <c r="B106" s="5" t="str">
        <f>"Telefon"</f>
        <v>Telefon</v>
      </c>
      <c r="C106" s="210"/>
      <c r="D106" s="218"/>
      <c r="E106" s="188"/>
      <c r="F106" s="255">
        <f t="shared" si="3"/>
        <v>0</v>
      </c>
      <c r="G106" s="239"/>
      <c r="H106" s="188"/>
      <c r="I106" s="188"/>
      <c r="J106" s="171"/>
      <c r="K106" s="153">
        <v>-440</v>
      </c>
      <c r="L106" s="127">
        <v>-1928</v>
      </c>
    </row>
    <row r="107" spans="1:12" x14ac:dyDescent="0.25">
      <c r="A107" s="24" t="str">
        <f>"6250"</f>
        <v>6250</v>
      </c>
      <c r="B107" s="5" t="str">
        <f>"Porto"</f>
        <v>Porto</v>
      </c>
      <c r="C107" s="210"/>
      <c r="D107" s="218">
        <v>-200</v>
      </c>
      <c r="E107" s="188"/>
      <c r="F107" s="255">
        <f t="shared" si="3"/>
        <v>200</v>
      </c>
      <c r="G107" s="239"/>
      <c r="H107" s="188"/>
      <c r="I107" s="188">
        <v>-183</v>
      </c>
      <c r="J107" s="171">
        <v>-140</v>
      </c>
      <c r="K107" s="153">
        <v>-60</v>
      </c>
      <c r="L107" s="127">
        <v>-60</v>
      </c>
    </row>
    <row r="108" spans="1:12" x14ac:dyDescent="0.25">
      <c r="A108" s="24" t="s">
        <v>127</v>
      </c>
      <c r="B108" s="5" t="s">
        <v>128</v>
      </c>
      <c r="C108" s="210">
        <v>-15000</v>
      </c>
      <c r="D108" s="218">
        <v>-20000</v>
      </c>
      <c r="E108" s="188">
        <v>-27425</v>
      </c>
      <c r="F108" s="239"/>
      <c r="G108" s="239"/>
      <c r="H108" s="188">
        <v>-16680</v>
      </c>
      <c r="I108" s="188"/>
      <c r="J108" s="171"/>
      <c r="K108" s="153"/>
      <c r="L108" s="127"/>
    </row>
    <row r="109" spans="1:12" x14ac:dyDescent="0.25">
      <c r="A109" s="24" t="str">
        <f>"6570"</f>
        <v>6570</v>
      </c>
      <c r="B109" s="5" t="str">
        <f>"Bankkostnader"</f>
        <v>Bankkostnader</v>
      </c>
      <c r="C109" s="210">
        <v>-1200</v>
      </c>
      <c r="D109" s="218">
        <v>-2000</v>
      </c>
      <c r="E109" s="188">
        <v>-927</v>
      </c>
      <c r="F109" s="255">
        <f t="shared" si="3"/>
        <v>1073</v>
      </c>
      <c r="G109" s="239"/>
      <c r="H109" s="188">
        <v>-909</v>
      </c>
      <c r="I109" s="188">
        <v>-615</v>
      </c>
      <c r="J109" s="171">
        <v>-4.5</v>
      </c>
      <c r="K109" s="153">
        <v>-1869</v>
      </c>
      <c r="L109" s="127">
        <v>-1971</v>
      </c>
    </row>
    <row r="110" spans="1:12" x14ac:dyDescent="0.25">
      <c r="A110" s="24" t="str">
        <f>"6980"</f>
        <v>6980</v>
      </c>
      <c r="B110" s="5" t="str">
        <f>"Föreningsavgift /Licenser"</f>
        <v>Föreningsavgift /Licenser</v>
      </c>
      <c r="C110" s="210">
        <v>-20000</v>
      </c>
      <c r="D110" s="218">
        <v>-20000</v>
      </c>
      <c r="E110" s="188">
        <v>-18200</v>
      </c>
      <c r="F110" s="255">
        <f t="shared" si="3"/>
        <v>1800</v>
      </c>
      <c r="G110" s="239"/>
      <c r="H110" s="188">
        <v>-23420</v>
      </c>
      <c r="I110" s="188">
        <v>-17180</v>
      </c>
      <c r="J110" s="171">
        <v>-15790</v>
      </c>
      <c r="K110" s="153">
        <v>-26978</v>
      </c>
      <c r="L110" s="127">
        <v>-24550</v>
      </c>
    </row>
    <row r="111" spans="1:12" x14ac:dyDescent="0.25">
      <c r="A111" s="24" t="str">
        <f>"6990"</f>
        <v>6990</v>
      </c>
      <c r="B111" s="5" t="str">
        <f>"Övriga Kostnader"</f>
        <v>Övriga Kostnader</v>
      </c>
      <c r="C111" s="210">
        <v>-3000</v>
      </c>
      <c r="D111" s="218">
        <v>-4000</v>
      </c>
      <c r="E111" s="188">
        <v>-3187.5</v>
      </c>
      <c r="F111" s="255">
        <f t="shared" si="3"/>
        <v>812.5</v>
      </c>
      <c r="G111" s="239"/>
      <c r="H111" s="188">
        <v>-778</v>
      </c>
      <c r="I111" s="188">
        <v>-4730.79</v>
      </c>
      <c r="J111" s="171">
        <v>-3998.66</v>
      </c>
      <c r="K111" s="153">
        <v>-3766.5</v>
      </c>
      <c r="L111" s="127">
        <v>-14526.5</v>
      </c>
    </row>
    <row r="112" spans="1:12" x14ac:dyDescent="0.25">
      <c r="A112" s="26"/>
      <c r="B112" s="6"/>
      <c r="C112" s="210"/>
      <c r="D112" s="218"/>
      <c r="E112" s="188"/>
      <c r="F112" s="239"/>
      <c r="G112" s="239"/>
      <c r="H112" s="188"/>
      <c r="I112" s="188"/>
      <c r="J112" s="6"/>
      <c r="K112" s="153"/>
      <c r="L112" s="127"/>
    </row>
    <row r="113" spans="1:64" s="1" customFormat="1" ht="15.75" thickBot="1" x14ac:dyDescent="0.3">
      <c r="A113" s="27" t="str">
        <f>"S:a Övriga externa kostnader"</f>
        <v>S:a Övriga externa kostnader</v>
      </c>
      <c r="B113" s="14"/>
      <c r="C113" s="212">
        <f>SUM(C89:C111)</f>
        <v>-150000</v>
      </c>
      <c r="D113" s="220">
        <v>-271700</v>
      </c>
      <c r="E113" s="189">
        <f>SUM(E89:E111)</f>
        <v>-275091.28999999998</v>
      </c>
      <c r="F113" s="240"/>
      <c r="G113" s="240"/>
      <c r="H113" s="189">
        <f>SUM(H89:H111)</f>
        <v>-281141.02</v>
      </c>
      <c r="I113" s="189">
        <f>SUM(I89:I111)</f>
        <v>-74214.789999999994</v>
      </c>
      <c r="J113" s="170">
        <f>SUM(J89:J111)</f>
        <v>-120809.04000000001</v>
      </c>
      <c r="K113" s="109">
        <f>SUM(K89:K111)</f>
        <v>-182207</v>
      </c>
      <c r="L113" s="119">
        <f>SUM(L89:L111)</f>
        <v>-185684.5</v>
      </c>
    </row>
    <row r="114" spans="1:64" s="1" customFormat="1" ht="15.75" thickBot="1" x14ac:dyDescent="0.3">
      <c r="A114" s="80"/>
      <c r="B114" s="81"/>
      <c r="C114" s="206"/>
      <c r="D114" s="230"/>
      <c r="E114" s="197"/>
      <c r="F114" s="243"/>
      <c r="G114" s="243"/>
      <c r="H114" s="197"/>
      <c r="I114" s="197"/>
      <c r="J114" s="172"/>
      <c r="K114" s="158"/>
      <c r="L114" s="130"/>
    </row>
    <row r="115" spans="1:64" x14ac:dyDescent="0.25">
      <c r="A115" s="19"/>
      <c r="B115" s="20"/>
      <c r="C115" s="205"/>
      <c r="D115" s="228"/>
      <c r="E115" s="190"/>
      <c r="F115" s="241"/>
      <c r="G115" s="241"/>
      <c r="H115" s="190"/>
      <c r="I115" s="190"/>
      <c r="J115" s="168"/>
      <c r="K115" s="155"/>
      <c r="L115" s="131"/>
    </row>
    <row r="116" spans="1:64" x14ac:dyDescent="0.25">
      <c r="A116" s="22" t="str">
        <f>"Personalkostnader"</f>
        <v>Personalkostnader</v>
      </c>
      <c r="B116" s="6"/>
      <c r="C116" s="203"/>
      <c r="D116" s="229"/>
      <c r="E116" s="188"/>
      <c r="F116" s="239"/>
      <c r="G116" s="239"/>
      <c r="H116" s="188"/>
      <c r="I116" s="188"/>
      <c r="J116" s="6"/>
      <c r="K116" s="153"/>
      <c r="L116" s="127"/>
    </row>
    <row r="117" spans="1:64" x14ac:dyDescent="0.25">
      <c r="A117" s="24" t="s">
        <v>57</v>
      </c>
      <c r="B117" s="5" t="s">
        <v>58</v>
      </c>
      <c r="C117" s="210">
        <v>-1500</v>
      </c>
      <c r="D117" s="218">
        <v>-4000</v>
      </c>
      <c r="E117" s="188">
        <v>-1600</v>
      </c>
      <c r="F117" s="255">
        <f t="shared" ref="F117:F119" si="4">-(D117-E117)</f>
        <v>2400</v>
      </c>
      <c r="G117" s="239"/>
      <c r="H117" s="188">
        <v>-1500</v>
      </c>
      <c r="I117" s="188">
        <v>-4050</v>
      </c>
      <c r="J117" s="171">
        <v>-600</v>
      </c>
      <c r="K117" s="153">
        <v>-900</v>
      </c>
      <c r="L117" s="127">
        <v>-2200</v>
      </c>
    </row>
    <row r="118" spans="1:64" x14ac:dyDescent="0.25">
      <c r="A118" s="24" t="str">
        <f>"7210"</f>
        <v>7210</v>
      </c>
      <c r="B118" s="5" t="str">
        <f>"Resekostnads ersättning"</f>
        <v>Resekostnads ersättning</v>
      </c>
      <c r="C118" s="210">
        <v>-5000</v>
      </c>
      <c r="D118" s="218">
        <v>-1000</v>
      </c>
      <c r="E118" s="188">
        <v>-6146.89</v>
      </c>
      <c r="F118" s="239">
        <f t="shared" si="4"/>
        <v>-5146.8900000000003</v>
      </c>
      <c r="G118" s="239"/>
      <c r="H118" s="188">
        <v>-2673</v>
      </c>
      <c r="I118" s="188">
        <v>-851</v>
      </c>
      <c r="J118" s="171">
        <v>-610</v>
      </c>
      <c r="K118" s="153">
        <v>-6961</v>
      </c>
      <c r="L118" s="127">
        <v>-6040</v>
      </c>
    </row>
    <row r="119" spans="1:64" x14ac:dyDescent="0.25">
      <c r="A119" s="24" t="str">
        <f>"7610"</f>
        <v>7610</v>
      </c>
      <c r="B119" s="5" t="str">
        <f>"Utbildning"</f>
        <v>Utbildning</v>
      </c>
      <c r="C119" s="210"/>
      <c r="D119" s="218">
        <v>-10000</v>
      </c>
      <c r="E119" s="188">
        <v>0</v>
      </c>
      <c r="F119" s="255">
        <f t="shared" si="4"/>
        <v>10000</v>
      </c>
      <c r="G119" s="239"/>
      <c r="H119" s="188">
        <v>-13629</v>
      </c>
      <c r="I119" s="188">
        <v>-7796</v>
      </c>
      <c r="J119" s="171"/>
      <c r="K119" s="153">
        <v>-11671</v>
      </c>
      <c r="L119" s="127">
        <v>-18925</v>
      </c>
    </row>
    <row r="120" spans="1:64" x14ac:dyDescent="0.25">
      <c r="A120" s="26"/>
      <c r="B120" s="6" t="s">
        <v>37</v>
      </c>
      <c r="C120" s="210"/>
      <c r="D120" s="218"/>
      <c r="E120" s="188"/>
      <c r="F120" s="239"/>
      <c r="G120" s="239"/>
      <c r="H120" s="188"/>
      <c r="I120" s="188"/>
      <c r="J120" s="6"/>
      <c r="K120" s="153"/>
      <c r="L120" s="127"/>
    </row>
    <row r="121" spans="1:64" s="1" customFormat="1" ht="15.75" thickBot="1" x14ac:dyDescent="0.3">
      <c r="A121" s="27" t="str">
        <f>"S:a Personalkostnader"</f>
        <v>S:a Personalkostnader</v>
      </c>
      <c r="B121" s="14"/>
      <c r="C121" s="212">
        <f>SUM(C117:C119)</f>
        <v>-6500</v>
      </c>
      <c r="D121" s="220">
        <v>-15000</v>
      </c>
      <c r="E121" s="189">
        <f>SUM(E117:E119)</f>
        <v>-7746.89</v>
      </c>
      <c r="F121" s="240"/>
      <c r="G121" s="240"/>
      <c r="H121" s="189">
        <f>SUM(H117:H119)</f>
        <v>-17802</v>
      </c>
      <c r="I121" s="189">
        <f>SUM(I117:I119)</f>
        <v>-12697</v>
      </c>
      <c r="J121" s="170">
        <f>SUM(J117:J119)</f>
        <v>-1210</v>
      </c>
      <c r="K121" s="154">
        <f>SUM(K117:K119)</f>
        <v>-19532</v>
      </c>
      <c r="L121" s="119">
        <f>SUM(L117:L119)</f>
        <v>-27165</v>
      </c>
    </row>
    <row r="122" spans="1:64" x14ac:dyDescent="0.25">
      <c r="A122" s="19"/>
      <c r="B122" s="20"/>
      <c r="C122" s="205"/>
      <c r="D122" s="228"/>
      <c r="E122" s="190"/>
      <c r="F122" s="241"/>
      <c r="G122" s="241"/>
      <c r="H122" s="190"/>
      <c r="I122" s="190"/>
      <c r="J122" s="168"/>
      <c r="K122" s="155"/>
      <c r="L122" s="131"/>
    </row>
    <row r="123" spans="1:64" x14ac:dyDescent="0.25">
      <c r="A123" s="26"/>
      <c r="B123" s="6"/>
      <c r="C123" s="203"/>
      <c r="D123" s="229"/>
      <c r="E123" s="188"/>
      <c r="F123" s="239"/>
      <c r="G123" s="239"/>
      <c r="H123" s="188"/>
      <c r="I123" s="188"/>
      <c r="J123" s="6"/>
      <c r="K123" s="153"/>
      <c r="L123" s="127"/>
    </row>
    <row r="124" spans="1:64" s="2" customFormat="1" ht="15.75" thickBot="1" x14ac:dyDescent="0.3">
      <c r="A124" s="32" t="str">
        <f>"S:a Rörelsens kostnader inkl råvaror mm"</f>
        <v>S:a Rörelsens kostnader inkl råvaror mm</v>
      </c>
      <c r="B124" s="33"/>
      <c r="C124" s="147">
        <f>SUM(C81+C113+C121)</f>
        <v>-515500</v>
      </c>
      <c r="D124" s="163">
        <v>-620700</v>
      </c>
      <c r="E124" s="163">
        <f>E81+E113+E121</f>
        <v>-725624.53999999992</v>
      </c>
      <c r="F124" s="242"/>
      <c r="G124" s="242"/>
      <c r="H124" s="163">
        <f>H81+H113+H121</f>
        <v>-607615.47</v>
      </c>
      <c r="I124" s="163">
        <f>I81+I113+I121</f>
        <v>-437772.44</v>
      </c>
      <c r="J124" s="149">
        <f>J81+J121+J113</f>
        <v>-408752.87</v>
      </c>
      <c r="K124" s="110">
        <f>K81+K121+K113</f>
        <v>-487742.48</v>
      </c>
      <c r="L124" s="111">
        <f>L81+L113+L121</f>
        <v>-471937.5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 s="2" customFormat="1" x14ac:dyDescent="0.25">
      <c r="A125" s="51"/>
      <c r="B125" s="17"/>
      <c r="C125" s="207"/>
      <c r="D125" s="231"/>
      <c r="E125" s="191"/>
      <c r="F125" s="244"/>
      <c r="G125" s="244"/>
      <c r="H125" s="191"/>
      <c r="I125" s="191"/>
      <c r="J125" s="81"/>
      <c r="K125" s="156"/>
      <c r="L125" s="13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 s="2" customFormat="1" x14ac:dyDescent="0.25">
      <c r="A126" s="51" t="s">
        <v>59</v>
      </c>
      <c r="B126" s="17" t="s">
        <v>60</v>
      </c>
      <c r="C126" s="208"/>
      <c r="D126" s="232"/>
      <c r="E126" s="198"/>
      <c r="F126" s="245"/>
      <c r="G126" s="245"/>
      <c r="H126" s="198"/>
      <c r="I126" s="198"/>
      <c r="J126" s="17">
        <v>118.94</v>
      </c>
      <c r="K126" s="157">
        <v>7419</v>
      </c>
      <c r="L126" s="132">
        <v>708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 x14ac:dyDescent="0.25">
      <c r="A127" s="26"/>
      <c r="B127" s="6"/>
      <c r="C127" s="203"/>
      <c r="D127" s="229"/>
      <c r="E127" s="188"/>
      <c r="F127" s="239"/>
      <c r="G127" s="239"/>
      <c r="H127" s="188"/>
      <c r="I127" s="188"/>
      <c r="J127" s="6"/>
      <c r="K127" s="153"/>
      <c r="L127" s="127"/>
    </row>
    <row r="128" spans="1:64" s="3" customFormat="1" x14ac:dyDescent="0.25">
      <c r="A128" s="113" t="str">
        <f>"Beräknat resultat"</f>
        <v>Beräknat resultat</v>
      </c>
      <c r="B128" s="114"/>
      <c r="C128" s="150">
        <f>C52+C124</f>
        <v>55000</v>
      </c>
      <c r="D128" s="164">
        <v>-243800</v>
      </c>
      <c r="E128" s="164">
        <f>E52+E124+E126</f>
        <v>-200525.78999999992</v>
      </c>
      <c r="F128" s="246"/>
      <c r="G128" s="246"/>
      <c r="H128" s="164">
        <f>H52+H124+H126</f>
        <v>-30377.719999999972</v>
      </c>
      <c r="I128" s="164">
        <f>I52+I124+I126</f>
        <v>37955.56</v>
      </c>
      <c r="J128" s="150">
        <f>J52+J124+J126</f>
        <v>25598.40000000002</v>
      </c>
      <c r="K128" s="115">
        <f>K52+K124+K126</f>
        <v>72132.520000000019</v>
      </c>
      <c r="L128" s="116">
        <f>L52+L124+L126</f>
        <v>-59346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12" ht="15.75" thickBot="1" x14ac:dyDescent="0.3">
      <c r="A129" s="37"/>
      <c r="B129" s="15"/>
      <c r="C129" s="15"/>
      <c r="D129" s="15"/>
      <c r="E129" s="15"/>
      <c r="F129" s="247"/>
      <c r="G129" s="247"/>
      <c r="H129" s="15"/>
      <c r="I129" s="15"/>
      <c r="J129" s="15"/>
      <c r="K129" s="109"/>
      <c r="L129" s="15"/>
    </row>
  </sheetData>
  <pageMargins left="0.7" right="0.7" top="0.75" bottom="0.75" header="0.3" footer="0.3"/>
  <pageSetup paperSize="9" orientation="portrait" r:id="rId1"/>
  <headerFooter>
    <oddHeader>&amp;C&amp;"Calibri"&amp;10&amp;K008000 Zeppelin: Confidential GREEN&amp;1#_x000D_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4934-29EF-4EC3-92BE-7B83B11EB746}">
  <dimension ref="A1:BM162"/>
  <sheetViews>
    <sheetView topLeftCell="A3" zoomScale="90" zoomScaleNormal="90" workbookViewId="0">
      <selection activeCell="C5" sqref="C5"/>
    </sheetView>
  </sheetViews>
  <sheetFormatPr defaultRowHeight="15" x14ac:dyDescent="0.25"/>
  <cols>
    <col min="1" max="1" width="12.28515625" customWidth="1"/>
    <col min="2" max="2" width="31.42578125" customWidth="1"/>
    <col min="3" max="3" width="17.28515625" bestFit="1" customWidth="1"/>
    <col min="4" max="4" width="17.28515625" style="289" bestFit="1" customWidth="1"/>
    <col min="5" max="5" width="15.7109375" style="272" customWidth="1"/>
    <col min="6" max="6" width="13.28515625" style="248" bestFit="1" customWidth="1"/>
    <col min="7" max="7" width="4.5703125" style="248" customWidth="1"/>
    <col min="8" max="10" width="15.7109375" customWidth="1"/>
    <col min="11" max="12" width="14.28515625" customWidth="1"/>
    <col min="13" max="13" width="13.7109375" style="4" customWidth="1"/>
    <col min="14" max="14" width="20.7109375" bestFit="1" customWidth="1"/>
    <col min="15" max="15" width="16" customWidth="1"/>
    <col min="16" max="16" width="12.7109375" customWidth="1"/>
    <col min="17" max="17" width="32.7109375" bestFit="1" customWidth="1"/>
    <col min="18" max="18" width="11.7109375" bestFit="1" customWidth="1"/>
  </cols>
  <sheetData>
    <row r="1" spans="1:13" hidden="1" x14ac:dyDescent="0.25">
      <c r="A1" s="9"/>
      <c r="C1" s="47" t="s">
        <v>1</v>
      </c>
      <c r="D1" s="273" t="s">
        <v>1</v>
      </c>
      <c r="E1" s="257"/>
      <c r="F1" s="233"/>
      <c r="G1" s="233"/>
      <c r="H1" s="194"/>
      <c r="I1" s="194"/>
      <c r="J1" s="194"/>
      <c r="K1" s="47"/>
      <c r="L1" s="47"/>
      <c r="M1" s="10"/>
    </row>
    <row r="2" spans="1:13" hidden="1" x14ac:dyDescent="0.25">
      <c r="A2" s="9"/>
      <c r="B2" s="87"/>
      <c r="C2" s="87" t="s">
        <v>2</v>
      </c>
      <c r="D2" s="274" t="s">
        <v>2</v>
      </c>
      <c r="E2" s="258"/>
      <c r="F2" s="234"/>
      <c r="G2" s="234"/>
      <c r="H2" s="195"/>
      <c r="I2" s="195"/>
      <c r="J2" s="195"/>
      <c r="K2" s="87"/>
      <c r="L2" s="7"/>
      <c r="M2" s="10"/>
    </row>
    <row r="3" spans="1:13" x14ac:dyDescent="0.25">
      <c r="A3" s="6"/>
      <c r="B3" s="47" t="s">
        <v>0</v>
      </c>
      <c r="C3" s="200">
        <v>2020</v>
      </c>
      <c r="D3" s="275">
        <v>2019</v>
      </c>
      <c r="E3" s="259">
        <v>2019</v>
      </c>
      <c r="F3" s="235"/>
      <c r="G3" s="235"/>
      <c r="H3" s="58">
        <v>2018</v>
      </c>
      <c r="I3" s="58">
        <v>2017</v>
      </c>
      <c r="J3" s="58">
        <v>2016</v>
      </c>
      <c r="K3" s="58">
        <v>2015</v>
      </c>
      <c r="L3" s="58">
        <v>2014</v>
      </c>
      <c r="M3" s="121">
        <v>2013</v>
      </c>
    </row>
    <row r="4" spans="1:13" ht="15.75" thickBot="1" x14ac:dyDescent="0.3">
      <c r="A4" s="16"/>
      <c r="B4" s="16"/>
      <c r="C4" s="201" t="s">
        <v>4</v>
      </c>
      <c r="D4" s="276" t="s">
        <v>4</v>
      </c>
      <c r="E4" s="260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122" t="s">
        <v>5</v>
      </c>
    </row>
    <row r="5" spans="1:13" x14ac:dyDescent="0.25">
      <c r="A5" s="19"/>
      <c r="B5" s="20"/>
      <c r="C5" s="202"/>
      <c r="D5" s="277"/>
      <c r="E5" s="261"/>
      <c r="F5" s="237" t="s">
        <v>149</v>
      </c>
      <c r="G5" s="237"/>
      <c r="H5" s="20"/>
      <c r="I5" s="20"/>
      <c r="J5" s="20"/>
      <c r="K5" s="20"/>
      <c r="L5" s="20"/>
      <c r="M5" s="123"/>
    </row>
    <row r="6" spans="1:13" x14ac:dyDescent="0.25">
      <c r="A6" s="22" t="str">
        <f>"Rörelsens intäkter och lagerförändring"</f>
        <v>Rörelsens intäkter och lagerförändring</v>
      </c>
      <c r="B6" s="6"/>
      <c r="C6" s="203"/>
      <c r="D6" s="278"/>
      <c r="E6" s="262"/>
      <c r="F6" s="238"/>
      <c r="G6" s="238"/>
      <c r="H6" s="6"/>
      <c r="I6" s="6"/>
      <c r="J6" s="6"/>
      <c r="K6" s="6"/>
      <c r="L6" s="6"/>
      <c r="M6" s="124"/>
    </row>
    <row r="7" spans="1:13" x14ac:dyDescent="0.25">
      <c r="A7" s="22" t="str">
        <f>"Nettoomsättning"</f>
        <v>Nettoomsättning</v>
      </c>
      <c r="B7" s="6"/>
      <c r="C7" s="203"/>
      <c r="D7" s="278"/>
      <c r="E7" s="262"/>
      <c r="F7" s="238"/>
      <c r="G7" s="238"/>
      <c r="H7" s="6"/>
      <c r="I7" s="6"/>
      <c r="J7" s="6"/>
      <c r="K7" s="6"/>
      <c r="L7" s="6"/>
      <c r="M7" s="124"/>
    </row>
    <row r="8" spans="1:13" x14ac:dyDescent="0.25">
      <c r="A8" s="186" t="str">
        <f>"3110"</f>
        <v>3110</v>
      </c>
      <c r="B8" s="5" t="str">
        <f>"Medlemsavgifter"</f>
        <v>Medlemsavgifter</v>
      </c>
      <c r="C8" s="210">
        <v>90000</v>
      </c>
      <c r="D8" s="279">
        <v>92000</v>
      </c>
      <c r="E8" s="263">
        <v>88115</v>
      </c>
      <c r="F8" s="239">
        <f t="shared" ref="F8:F20" si="0">-(D8-E8)</f>
        <v>-3885</v>
      </c>
      <c r="G8" s="239"/>
      <c r="H8" s="188">
        <v>83200</v>
      </c>
      <c r="I8" s="188">
        <v>95550</v>
      </c>
      <c r="J8" s="188">
        <v>94050</v>
      </c>
      <c r="K8" s="165">
        <v>92225</v>
      </c>
      <c r="L8" s="153">
        <v>91000</v>
      </c>
      <c r="M8" s="125">
        <v>83650</v>
      </c>
    </row>
    <row r="9" spans="1:13" x14ac:dyDescent="0.25">
      <c r="A9" s="186" t="str">
        <f>"3120"</f>
        <v>3120</v>
      </c>
      <c r="B9" s="5" t="str">
        <f>"Intäkter kanothyra"</f>
        <v>Intäkter kanothyra</v>
      </c>
      <c r="C9" s="210">
        <v>20000</v>
      </c>
      <c r="D9" s="279">
        <v>16000</v>
      </c>
      <c r="E9" s="263">
        <v>20000</v>
      </c>
      <c r="F9" s="239">
        <f t="shared" si="0"/>
        <v>4000</v>
      </c>
      <c r="G9" s="239"/>
      <c r="H9" s="188">
        <v>14605</v>
      </c>
      <c r="I9" s="188">
        <v>24825</v>
      </c>
      <c r="J9" s="188">
        <v>15440</v>
      </c>
      <c r="K9" s="165">
        <v>13125</v>
      </c>
      <c r="L9" s="153">
        <v>17450</v>
      </c>
      <c r="M9" s="125">
        <v>13450</v>
      </c>
    </row>
    <row r="10" spans="1:13" x14ac:dyDescent="0.25">
      <c r="A10" s="186" t="str">
        <f>"3130"</f>
        <v>3130</v>
      </c>
      <c r="B10" s="5" t="str">
        <f>"Intäkter kanotplats"</f>
        <v>Intäkter kanotplats</v>
      </c>
      <c r="C10" s="210">
        <v>20000</v>
      </c>
      <c r="D10" s="279">
        <v>25000</v>
      </c>
      <c r="E10" s="263">
        <v>19450</v>
      </c>
      <c r="F10" s="239">
        <f t="shared" si="0"/>
        <v>-5550</v>
      </c>
      <c r="G10" s="239"/>
      <c r="H10" s="188">
        <v>22300</v>
      </c>
      <c r="I10" s="188">
        <v>21800</v>
      </c>
      <c r="J10" s="188">
        <v>24625</v>
      </c>
      <c r="K10" s="165">
        <v>23375</v>
      </c>
      <c r="L10" s="153">
        <v>17713</v>
      </c>
      <c r="M10" s="125">
        <v>18175</v>
      </c>
    </row>
    <row r="11" spans="1:13" x14ac:dyDescent="0.25">
      <c r="A11" s="186" t="str">
        <f>"3140"</f>
        <v>3140</v>
      </c>
      <c r="B11" s="5" t="str">
        <f>"Intäkter kanotskola"</f>
        <v>Intäkter kanotskola</v>
      </c>
      <c r="C11" s="210">
        <v>25000</v>
      </c>
      <c r="D11" s="279">
        <v>22000</v>
      </c>
      <c r="E11" s="263">
        <v>28330</v>
      </c>
      <c r="F11" s="239">
        <f t="shared" si="0"/>
        <v>6330</v>
      </c>
      <c r="G11" s="239"/>
      <c r="H11" s="188">
        <v>13980</v>
      </c>
      <c r="I11" s="188">
        <v>19500</v>
      </c>
      <c r="J11" s="188">
        <v>17550</v>
      </c>
      <c r="K11" s="165">
        <v>25525</v>
      </c>
      <c r="L11" s="153">
        <v>35750</v>
      </c>
      <c r="M11" s="125">
        <v>24535</v>
      </c>
    </row>
    <row r="12" spans="1:13" x14ac:dyDescent="0.25">
      <c r="A12" s="186" t="str">
        <f>"3142"</f>
        <v>3142</v>
      </c>
      <c r="B12" s="5" t="str">
        <f>"Prova-på-paddling"</f>
        <v>Prova-på-paddling</v>
      </c>
      <c r="C12" s="210">
        <v>1000</v>
      </c>
      <c r="D12" s="279">
        <v>0</v>
      </c>
      <c r="E12" s="263">
        <v>1300</v>
      </c>
      <c r="F12" s="239">
        <f t="shared" si="0"/>
        <v>1300</v>
      </c>
      <c r="G12" s="239"/>
      <c r="H12" s="188">
        <v>0</v>
      </c>
      <c r="I12" s="188">
        <v>10500</v>
      </c>
      <c r="J12" s="188">
        <v>13600</v>
      </c>
      <c r="K12" s="165">
        <v>12400</v>
      </c>
      <c r="L12" s="153">
        <v>18000</v>
      </c>
      <c r="M12" s="125">
        <v>7200</v>
      </c>
    </row>
    <row r="13" spans="1:13" x14ac:dyDescent="0.25">
      <c r="A13" s="186" t="s">
        <v>6</v>
      </c>
      <c r="B13" s="5" t="s">
        <v>7</v>
      </c>
      <c r="C13" s="210">
        <v>5000</v>
      </c>
      <c r="D13" s="279">
        <v>20000</v>
      </c>
      <c r="E13" s="263">
        <v>2150</v>
      </c>
      <c r="F13" s="239">
        <f t="shared" si="0"/>
        <v>-17850</v>
      </c>
      <c r="G13" s="239"/>
      <c r="H13" s="188">
        <v>5100</v>
      </c>
      <c r="I13" s="188">
        <v>4700</v>
      </c>
      <c r="J13" s="188">
        <v>16200</v>
      </c>
      <c r="K13" s="165">
        <v>6000</v>
      </c>
      <c r="L13" s="153">
        <v>3100</v>
      </c>
      <c r="M13" s="125">
        <v>7600</v>
      </c>
    </row>
    <row r="14" spans="1:13" x14ac:dyDescent="0.25">
      <c r="A14" s="186" t="str">
        <f>"3211"</f>
        <v>3211</v>
      </c>
      <c r="B14" s="5" t="str">
        <f>"Anmälningsavgifter"</f>
        <v>Anmälningsavgifter</v>
      </c>
      <c r="C14" s="210">
        <v>30000</v>
      </c>
      <c r="D14" s="279">
        <v>24000</v>
      </c>
      <c r="E14" s="263">
        <v>29875</v>
      </c>
      <c r="F14" s="255">
        <f t="shared" si="0"/>
        <v>5875</v>
      </c>
      <c r="G14" s="239"/>
      <c r="H14" s="188">
        <v>11980</v>
      </c>
      <c r="I14" s="188">
        <v>7425</v>
      </c>
      <c r="J14" s="188">
        <v>7800</v>
      </c>
      <c r="K14" s="165">
        <v>6400</v>
      </c>
      <c r="L14" s="153">
        <v>12000</v>
      </c>
      <c r="M14" s="125">
        <v>13120</v>
      </c>
    </row>
    <row r="15" spans="1:13" x14ac:dyDescent="0.25">
      <c r="A15" s="186" t="str">
        <f>"3212"</f>
        <v>3212</v>
      </c>
      <c r="B15" s="5" t="str">
        <f>"Transportavgift"</f>
        <v>Transportavgift</v>
      </c>
      <c r="C15" s="210"/>
      <c r="D15" s="279"/>
      <c r="E15" s="263"/>
      <c r="F15" s="239">
        <f t="shared" si="0"/>
        <v>0</v>
      </c>
      <c r="G15" s="239"/>
      <c r="H15" s="188"/>
      <c r="I15" s="188"/>
      <c r="J15" s="188"/>
      <c r="K15" s="165">
        <v>400</v>
      </c>
      <c r="L15" s="153">
        <v>100</v>
      </c>
      <c r="M15" s="125">
        <v>1800</v>
      </c>
    </row>
    <row r="16" spans="1:13" x14ac:dyDescent="0.25">
      <c r="A16" s="186" t="str">
        <f>"3213"</f>
        <v>3213</v>
      </c>
      <c r="B16" s="5" t="str">
        <f>"Kost och logi under tävlingar"</f>
        <v>Kost och logi under tävlingar</v>
      </c>
      <c r="C16" s="210">
        <v>45000</v>
      </c>
      <c r="D16" s="279">
        <v>20000</v>
      </c>
      <c r="E16" s="263">
        <v>42320</v>
      </c>
      <c r="F16" s="255">
        <f t="shared" si="0"/>
        <v>22320</v>
      </c>
      <c r="G16" s="239"/>
      <c r="H16" s="188">
        <v>46140</v>
      </c>
      <c r="I16" s="188">
        <v>10126.75</v>
      </c>
      <c r="J16" s="188">
        <v>7635</v>
      </c>
      <c r="K16" s="165">
        <v>5390</v>
      </c>
      <c r="L16" s="153">
        <v>12555</v>
      </c>
      <c r="M16" s="125">
        <v>2400</v>
      </c>
    </row>
    <row r="17" spans="1:16" x14ac:dyDescent="0.25">
      <c r="A17" s="186"/>
      <c r="B17" s="44"/>
      <c r="C17" s="211"/>
      <c r="D17" s="280"/>
      <c r="E17" s="264"/>
      <c r="F17" s="239">
        <f t="shared" si="0"/>
        <v>0</v>
      </c>
      <c r="G17" s="239"/>
      <c r="H17" s="196"/>
      <c r="I17" s="196"/>
      <c r="J17" s="196"/>
      <c r="K17" s="166"/>
      <c r="L17" s="153"/>
      <c r="M17" s="126"/>
    </row>
    <row r="18" spans="1:16" x14ac:dyDescent="0.25">
      <c r="A18" s="223" t="str">
        <f>"3221"</f>
        <v>3221</v>
      </c>
      <c r="B18" s="224" t="s">
        <v>122</v>
      </c>
      <c r="C18" s="210">
        <v>10000</v>
      </c>
      <c r="D18" s="279">
        <v>9000</v>
      </c>
      <c r="E18" s="263">
        <v>9750</v>
      </c>
      <c r="F18" s="239">
        <f t="shared" si="0"/>
        <v>750</v>
      </c>
      <c r="G18" s="239"/>
      <c r="H18" s="188">
        <v>2200</v>
      </c>
      <c r="I18" s="188">
        <v>8900</v>
      </c>
      <c r="J18" s="188">
        <v>9850</v>
      </c>
      <c r="K18" s="165">
        <v>8200</v>
      </c>
      <c r="L18" s="153">
        <v>5450</v>
      </c>
      <c r="M18" s="125">
        <v>1650</v>
      </c>
    </row>
    <row r="19" spans="1:16" x14ac:dyDescent="0.25">
      <c r="A19" s="223" t="s">
        <v>11</v>
      </c>
      <c r="B19" s="224" t="s">
        <v>123</v>
      </c>
      <c r="C19" s="210">
        <v>0</v>
      </c>
      <c r="D19" s="279">
        <v>0</v>
      </c>
      <c r="E19" s="263"/>
      <c r="F19" s="239">
        <f t="shared" si="0"/>
        <v>0</v>
      </c>
      <c r="G19" s="239"/>
      <c r="H19" s="188"/>
      <c r="I19" s="188"/>
      <c r="J19" s="188"/>
      <c r="K19" s="165"/>
      <c r="L19" s="153"/>
      <c r="M19" s="125"/>
    </row>
    <row r="20" spans="1:16" x14ac:dyDescent="0.25">
      <c r="A20" s="186" t="str">
        <f>"3223"</f>
        <v>3223</v>
      </c>
      <c r="B20" s="5" t="str">
        <f>"Intäkter SM läger"</f>
        <v>Intäkter SM läger</v>
      </c>
      <c r="C20" s="210">
        <v>12000</v>
      </c>
      <c r="D20" s="279">
        <v>30000</v>
      </c>
      <c r="E20" s="263">
        <v>46850</v>
      </c>
      <c r="F20" s="255">
        <f t="shared" si="0"/>
        <v>16850</v>
      </c>
      <c r="G20" s="239"/>
      <c r="H20" s="188">
        <v>22540</v>
      </c>
      <c r="I20" s="188">
        <v>22500</v>
      </c>
      <c r="J20" s="188">
        <v>17100</v>
      </c>
      <c r="K20" s="165">
        <v>18000</v>
      </c>
      <c r="L20" s="153">
        <v>7500</v>
      </c>
      <c r="M20" s="125">
        <v>8400</v>
      </c>
    </row>
    <row r="21" spans="1:16" x14ac:dyDescent="0.25">
      <c r="A21" s="186" t="s">
        <v>13</v>
      </c>
      <c r="B21" s="5" t="s">
        <v>14</v>
      </c>
      <c r="C21" s="210">
        <v>60000</v>
      </c>
      <c r="D21" s="279">
        <v>60000</v>
      </c>
      <c r="E21" s="263">
        <v>60814</v>
      </c>
      <c r="F21" s="255">
        <f>-(D21-E20)</f>
        <v>-13150</v>
      </c>
      <c r="G21" s="239"/>
      <c r="H21" s="188">
        <v>24271</v>
      </c>
      <c r="I21" s="188">
        <v>4052</v>
      </c>
      <c r="J21" s="188"/>
      <c r="K21" s="165">
        <v>5434</v>
      </c>
      <c r="L21" s="153">
        <v>11030</v>
      </c>
      <c r="M21" s="125">
        <v>13415.5</v>
      </c>
    </row>
    <row r="22" spans="1:16" x14ac:dyDescent="0.25">
      <c r="A22" s="186" t="s">
        <v>130</v>
      </c>
      <c r="B22" s="5" t="s">
        <v>131</v>
      </c>
      <c r="C22" s="210">
        <v>8000</v>
      </c>
      <c r="D22" s="279">
        <v>9000</v>
      </c>
      <c r="E22" s="263">
        <v>7247</v>
      </c>
      <c r="F22" s="255"/>
      <c r="G22" s="239"/>
      <c r="H22" s="188">
        <v>7248</v>
      </c>
      <c r="I22" s="188">
        <v>0</v>
      </c>
      <c r="J22" s="188"/>
      <c r="K22" s="165"/>
      <c r="L22" s="153"/>
      <c r="M22" s="125"/>
    </row>
    <row r="23" spans="1:16" x14ac:dyDescent="0.25">
      <c r="A23" s="186" t="str">
        <f>"3310"</f>
        <v>3310</v>
      </c>
      <c r="B23" s="5" t="s">
        <v>132</v>
      </c>
      <c r="C23" s="210">
        <v>3300</v>
      </c>
      <c r="D23" s="279">
        <v>2500</v>
      </c>
      <c r="E23" s="263">
        <v>3254</v>
      </c>
      <c r="F23" s="255">
        <f t="shared" ref="F23:F29" si="1">-(D23-E23)</f>
        <v>754</v>
      </c>
      <c r="G23" s="239"/>
      <c r="H23" s="188">
        <v>2694</v>
      </c>
      <c r="I23" s="188">
        <v>3787</v>
      </c>
      <c r="J23" s="188">
        <v>910</v>
      </c>
      <c r="K23" s="165">
        <v>1092</v>
      </c>
      <c r="L23" s="153">
        <v>3943</v>
      </c>
      <c r="M23" s="125">
        <v>2388</v>
      </c>
    </row>
    <row r="24" spans="1:16" x14ac:dyDescent="0.25">
      <c r="A24" s="186" t="s">
        <v>15</v>
      </c>
      <c r="B24" s="5" t="s">
        <v>16</v>
      </c>
      <c r="C24" s="210">
        <v>0</v>
      </c>
      <c r="D24" s="279">
        <v>0</v>
      </c>
      <c r="E24" s="263"/>
      <c r="F24" s="239">
        <f t="shared" si="1"/>
        <v>0</v>
      </c>
      <c r="G24" s="239"/>
      <c r="H24" s="188"/>
      <c r="I24" s="188"/>
      <c r="J24" s="188"/>
      <c r="K24" s="165"/>
      <c r="L24" s="153"/>
      <c r="M24" s="125"/>
    </row>
    <row r="25" spans="1:16" x14ac:dyDescent="0.25">
      <c r="A25" s="186" t="str">
        <f>"3420"</f>
        <v>3420</v>
      </c>
      <c r="B25" s="5" t="str">
        <f>"Intäkter Sponsorer"</f>
        <v>Intäkter Sponsorer</v>
      </c>
      <c r="C25" s="210">
        <v>40000</v>
      </c>
      <c r="D25" s="279">
        <v>34500</v>
      </c>
      <c r="E25" s="263">
        <v>39000</v>
      </c>
      <c r="F25" s="239">
        <f t="shared" si="1"/>
        <v>4500</v>
      </c>
      <c r="G25" s="239"/>
      <c r="H25" s="188">
        <v>38500</v>
      </c>
      <c r="I25" s="188">
        <v>49385</v>
      </c>
      <c r="J25" s="188">
        <v>37000</v>
      </c>
      <c r="K25" s="165">
        <v>54000</v>
      </c>
      <c r="L25" s="153">
        <v>62570</v>
      </c>
      <c r="M25" s="125">
        <v>41400</v>
      </c>
      <c r="O25" s="4"/>
      <c r="P25" s="4"/>
    </row>
    <row r="26" spans="1:16" x14ac:dyDescent="0.25">
      <c r="A26" s="186" t="str">
        <f>"3421"</f>
        <v>3421</v>
      </c>
      <c r="B26" s="5" t="s">
        <v>17</v>
      </c>
      <c r="C26" s="210">
        <v>30000</v>
      </c>
      <c r="D26" s="279">
        <v>30000</v>
      </c>
      <c r="E26" s="263">
        <v>30000</v>
      </c>
      <c r="F26" s="255">
        <f t="shared" si="1"/>
        <v>0</v>
      </c>
      <c r="G26" s="239"/>
      <c r="H26" s="188">
        <v>62500</v>
      </c>
      <c r="I26" s="188">
        <v>24000</v>
      </c>
      <c r="J26" s="188">
        <v>93000</v>
      </c>
      <c r="K26" s="165">
        <v>28000</v>
      </c>
      <c r="L26" s="153">
        <v>73000</v>
      </c>
      <c r="M26" s="125">
        <v>28000</v>
      </c>
    </row>
    <row r="27" spans="1:16" x14ac:dyDescent="0.25">
      <c r="A27" s="186" t="s">
        <v>18</v>
      </c>
      <c r="B27" s="5" t="s">
        <v>19</v>
      </c>
      <c r="C27" s="210"/>
      <c r="D27" s="279"/>
      <c r="E27" s="263">
        <v>51248</v>
      </c>
      <c r="F27" s="255">
        <f t="shared" si="1"/>
        <v>51248</v>
      </c>
      <c r="G27" s="239"/>
      <c r="H27" s="188">
        <v>35000</v>
      </c>
      <c r="I27" s="188">
        <v>29500</v>
      </c>
      <c r="J27" s="188">
        <v>27000</v>
      </c>
      <c r="K27" s="165">
        <v>28775.33</v>
      </c>
      <c r="L27" s="153">
        <v>26179</v>
      </c>
      <c r="M27" s="125">
        <v>50350</v>
      </c>
    </row>
    <row r="28" spans="1:16" x14ac:dyDescent="0.25">
      <c r="A28" s="186" t="str">
        <f>"3430"</f>
        <v>3430</v>
      </c>
      <c r="B28" s="5" t="str">
        <f>"Intäkter föräldrarföreningen"</f>
        <v>Intäkter föräldrarföreningen</v>
      </c>
      <c r="C28" s="210">
        <v>15000</v>
      </c>
      <c r="D28" s="279">
        <v>52000</v>
      </c>
      <c r="E28" s="263">
        <v>30693</v>
      </c>
      <c r="F28" s="239">
        <f t="shared" si="1"/>
        <v>-21307</v>
      </c>
      <c r="G28" s="239"/>
      <c r="H28" s="188"/>
      <c r="I28" s="188"/>
      <c r="J28" s="188"/>
      <c r="K28" s="165"/>
      <c r="L28" s="153"/>
      <c r="M28" s="127"/>
    </row>
    <row r="29" spans="1:16" x14ac:dyDescent="0.25">
      <c r="A29" s="186" t="str">
        <f>"3520"</f>
        <v>3520</v>
      </c>
      <c r="B29" s="5" t="str">
        <f>"Intäkter Kanotförsäkring"</f>
        <v>Intäkter Kanotförsäkring</v>
      </c>
      <c r="C29" s="210"/>
      <c r="D29" s="279"/>
      <c r="E29" s="263"/>
      <c r="F29" s="239">
        <f t="shared" si="1"/>
        <v>0</v>
      </c>
      <c r="G29" s="239"/>
      <c r="H29" s="188"/>
      <c r="I29" s="188"/>
      <c r="J29" s="188">
        <v>430</v>
      </c>
      <c r="K29" s="165">
        <v>2100</v>
      </c>
      <c r="L29" s="153">
        <v>3458</v>
      </c>
      <c r="M29" s="127">
        <v>3830</v>
      </c>
    </row>
    <row r="30" spans="1:16" x14ac:dyDescent="0.25">
      <c r="A30" s="186" t="s">
        <v>95</v>
      </c>
      <c r="B30" s="5" t="s">
        <v>150</v>
      </c>
      <c r="C30" s="210">
        <v>15000</v>
      </c>
      <c r="D30" s="279"/>
      <c r="E30" s="263">
        <v>17369</v>
      </c>
      <c r="F30" s="239"/>
      <c r="G30" s="239"/>
      <c r="H30" s="188"/>
      <c r="I30" s="188"/>
      <c r="J30" s="188"/>
      <c r="K30" s="165"/>
      <c r="L30" s="153"/>
      <c r="M30" s="127"/>
    </row>
    <row r="31" spans="1:16" x14ac:dyDescent="0.25">
      <c r="A31" s="186" t="s">
        <v>133</v>
      </c>
      <c r="B31" s="5" t="s">
        <v>134</v>
      </c>
      <c r="C31" s="210" t="s">
        <v>151</v>
      </c>
      <c r="D31" s="279">
        <v>500</v>
      </c>
      <c r="E31" s="263"/>
      <c r="F31" s="239"/>
      <c r="G31" s="239"/>
      <c r="H31" s="188"/>
      <c r="I31" s="188">
        <v>1200</v>
      </c>
      <c r="J31" s="188"/>
      <c r="K31" s="165"/>
      <c r="L31" s="153"/>
      <c r="M31" s="127"/>
    </row>
    <row r="32" spans="1:16" x14ac:dyDescent="0.25">
      <c r="A32" s="186" t="s">
        <v>20</v>
      </c>
      <c r="B32" s="5" t="s">
        <v>21</v>
      </c>
      <c r="C32" s="210"/>
      <c r="D32" s="279"/>
      <c r="E32" s="263"/>
      <c r="F32" s="239">
        <f>-(D32-E32)</f>
        <v>0</v>
      </c>
      <c r="G32" s="239"/>
      <c r="H32" s="188"/>
      <c r="I32" s="188"/>
      <c r="J32" s="188"/>
      <c r="K32" s="165"/>
      <c r="L32" s="153">
        <v>61624</v>
      </c>
      <c r="M32" s="127"/>
    </row>
    <row r="33" spans="1:17" x14ac:dyDescent="0.25">
      <c r="A33" s="186" t="str">
        <f>"3710"</f>
        <v>3710</v>
      </c>
      <c r="B33" s="5" t="str">
        <f>"Kommunala bidrag"</f>
        <v>Kommunala bidrag</v>
      </c>
      <c r="C33" s="210">
        <v>75000</v>
      </c>
      <c r="D33" s="279">
        <v>50000</v>
      </c>
      <c r="E33" s="263">
        <v>76399</v>
      </c>
      <c r="F33" s="255">
        <f>-(D33-E33)</f>
        <v>26399</v>
      </c>
      <c r="G33" s="239"/>
      <c r="H33" s="188">
        <v>53067</v>
      </c>
      <c r="I33" s="188">
        <v>71801</v>
      </c>
      <c r="J33" s="188">
        <v>51130</v>
      </c>
      <c r="K33" s="165">
        <v>54852</v>
      </c>
      <c r="L33" s="153">
        <v>52860</v>
      </c>
      <c r="M33" s="127">
        <v>51090</v>
      </c>
    </row>
    <row r="34" spans="1:17" x14ac:dyDescent="0.25">
      <c r="A34" s="186" t="str">
        <f>"3730"</f>
        <v>3730</v>
      </c>
      <c r="B34" s="5" t="str">
        <f>"LOK-stöd Riksidrottsförbundet"</f>
        <v>LOK-stöd Riksidrottsförbundet</v>
      </c>
      <c r="C34" s="210">
        <v>41000</v>
      </c>
      <c r="D34" s="279">
        <v>44000</v>
      </c>
      <c r="E34" s="263">
        <v>40855.599999999999</v>
      </c>
      <c r="F34" s="255">
        <f>-(D34-E34)</f>
        <v>-3144.4000000000015</v>
      </c>
      <c r="G34" s="239"/>
      <c r="H34" s="188">
        <v>48410.75</v>
      </c>
      <c r="I34" s="188">
        <v>54186</v>
      </c>
      <c r="J34" s="188">
        <v>40408</v>
      </c>
      <c r="K34" s="165">
        <v>36836</v>
      </c>
      <c r="L34" s="153">
        <v>33824</v>
      </c>
      <c r="M34" s="127">
        <v>39430</v>
      </c>
    </row>
    <row r="35" spans="1:17" x14ac:dyDescent="0.25">
      <c r="A35" s="186" t="s">
        <v>135</v>
      </c>
      <c r="B35" s="5" t="s">
        <v>136</v>
      </c>
      <c r="C35" s="210">
        <v>30000</v>
      </c>
      <c r="D35" s="279">
        <v>30000</v>
      </c>
      <c r="E35" s="263">
        <v>0</v>
      </c>
      <c r="F35" s="239">
        <f>D35-E35</f>
        <v>30000</v>
      </c>
      <c r="G35" s="239"/>
      <c r="H35" s="188"/>
      <c r="I35" s="188">
        <v>108000</v>
      </c>
      <c r="J35" s="188"/>
      <c r="K35" s="165"/>
      <c r="L35" s="153"/>
      <c r="M35" s="127"/>
    </row>
    <row r="36" spans="1:17" x14ac:dyDescent="0.25">
      <c r="A36" s="186" t="str">
        <f>"3790"</f>
        <v>3790</v>
      </c>
      <c r="B36" s="5" t="s">
        <v>24</v>
      </c>
      <c r="C36" s="210"/>
      <c r="D36" s="279"/>
      <c r="E36" s="263"/>
      <c r="F36" s="239">
        <f>D36-E36</f>
        <v>0</v>
      </c>
      <c r="G36" s="239"/>
      <c r="H36" s="188"/>
      <c r="I36" s="188"/>
      <c r="J36" s="188"/>
      <c r="K36" s="165"/>
      <c r="L36" s="153"/>
      <c r="M36" s="127"/>
      <c r="Q36" s="4"/>
    </row>
    <row r="37" spans="1:17" x14ac:dyDescent="0.25">
      <c r="A37" s="26"/>
      <c r="B37" s="6"/>
      <c r="C37" s="210"/>
      <c r="D37" s="279"/>
      <c r="E37" s="263"/>
      <c r="F37" s="239"/>
      <c r="G37" s="239"/>
      <c r="H37" s="188"/>
      <c r="I37" s="188"/>
      <c r="J37" s="188"/>
      <c r="K37" s="165"/>
      <c r="L37" s="153"/>
      <c r="M37" s="127"/>
    </row>
    <row r="38" spans="1:17" s="1" customFormat="1" ht="15.75" thickBot="1" x14ac:dyDescent="0.3">
      <c r="A38" s="27" t="str">
        <f>"S:a Nettoomsättning"</f>
        <v>S:a Nettoomsättning</v>
      </c>
      <c r="B38" s="14"/>
      <c r="C38" s="209">
        <f>SUM(C8:C36)</f>
        <v>575300</v>
      </c>
      <c r="D38" s="281">
        <f>SUM(D8:D36)</f>
        <v>570500</v>
      </c>
      <c r="E38" s="265">
        <f>SUM(E8:E37)</f>
        <v>645019.6</v>
      </c>
      <c r="F38" s="240"/>
      <c r="G38" s="240"/>
      <c r="H38" s="189">
        <f>SUM(H8:H37)</f>
        <v>493735.75</v>
      </c>
      <c r="I38" s="189">
        <f>SUM(I8:I37)</f>
        <v>571737.75</v>
      </c>
      <c r="J38" s="189">
        <f>SUM(J8:J37)</f>
        <v>473728</v>
      </c>
      <c r="K38" s="167">
        <f>SUM(K8:K36)</f>
        <v>422129.33</v>
      </c>
      <c r="L38" s="154">
        <f>SUM(L8:L36)</f>
        <v>549106</v>
      </c>
      <c r="M38" s="119">
        <f>SUM(M8:M36)</f>
        <v>411883.5</v>
      </c>
      <c r="Q38" s="120"/>
    </row>
    <row r="39" spans="1:17" x14ac:dyDescent="0.25">
      <c r="A39" s="19"/>
      <c r="B39" s="20"/>
      <c r="C39" s="205"/>
      <c r="D39" s="282"/>
      <c r="E39" s="266"/>
      <c r="F39" s="241"/>
      <c r="G39" s="241"/>
      <c r="H39" s="190"/>
      <c r="I39" s="190"/>
      <c r="J39" s="190"/>
      <c r="K39" s="168"/>
      <c r="L39" s="155"/>
      <c r="M39" s="128"/>
    </row>
    <row r="40" spans="1:17" x14ac:dyDescent="0.25">
      <c r="A40" s="22" t="str">
        <f>"Aktiverat arbete för egen räkning"</f>
        <v>Aktiverat arbete för egen räkning</v>
      </c>
      <c r="B40" s="6"/>
      <c r="C40" s="203"/>
      <c r="D40" s="278"/>
      <c r="E40" s="263"/>
      <c r="F40" s="239"/>
      <c r="G40" s="239"/>
      <c r="H40" s="188"/>
      <c r="I40" s="188"/>
      <c r="J40" s="188"/>
      <c r="K40" s="6"/>
      <c r="L40" s="153"/>
      <c r="M40" s="129"/>
    </row>
    <row r="41" spans="1:17" x14ac:dyDescent="0.25">
      <c r="A41" s="186" t="str">
        <f>"3813"</f>
        <v>3813</v>
      </c>
      <c r="B41" s="5" t="s">
        <v>27</v>
      </c>
      <c r="C41" s="210"/>
      <c r="D41" s="279"/>
      <c r="E41" s="263">
        <v>0</v>
      </c>
      <c r="F41" s="239"/>
      <c r="G41" s="239"/>
      <c r="H41" s="188">
        <v>0</v>
      </c>
      <c r="I41" s="188">
        <v>5500</v>
      </c>
      <c r="J41" s="188">
        <v>2000</v>
      </c>
      <c r="K41" s="153">
        <v>1000</v>
      </c>
      <c r="L41" s="153">
        <v>3350</v>
      </c>
      <c r="M41" s="127">
        <v>0</v>
      </c>
    </row>
    <row r="42" spans="1:17" x14ac:dyDescent="0.25">
      <c r="A42" s="187"/>
      <c r="B42" s="6"/>
      <c r="C42" s="210"/>
      <c r="D42" s="279"/>
      <c r="E42" s="263"/>
      <c r="F42" s="239"/>
      <c r="G42" s="239"/>
      <c r="H42" s="188"/>
      <c r="I42" s="188"/>
      <c r="J42" s="188"/>
      <c r="K42" s="6"/>
      <c r="L42" s="153"/>
      <c r="M42" s="129"/>
    </row>
    <row r="43" spans="1:17" s="1" customFormat="1" ht="15.75" thickBot="1" x14ac:dyDescent="0.3">
      <c r="A43" s="27" t="str">
        <f>"S:a Aktiverat arbete för egen räkning"</f>
        <v>S:a Aktiverat arbete för egen räkning</v>
      </c>
      <c r="B43" s="14"/>
      <c r="C43" s="212">
        <f>SUM(C40:C41)</f>
        <v>0</v>
      </c>
      <c r="D43" s="283">
        <f>SUM(D40:D41)</f>
        <v>0</v>
      </c>
      <c r="E43" s="265">
        <f>SUM(E41:E42)</f>
        <v>0</v>
      </c>
      <c r="F43" s="240"/>
      <c r="G43" s="240"/>
      <c r="H43" s="189">
        <f>SUM(H41:H42)</f>
        <v>0</v>
      </c>
      <c r="I43" s="189">
        <f>SUM(I41:I42)</f>
        <v>5500</v>
      </c>
      <c r="J43" s="189">
        <f>SUM(J41:J42)</f>
        <v>2000</v>
      </c>
      <c r="K43" s="109">
        <f>SUM(K41:K41)</f>
        <v>1000</v>
      </c>
      <c r="L43" s="109">
        <f>SUM(L41:L41)</f>
        <v>3350</v>
      </c>
      <c r="M43" s="119">
        <f>SUM(M41:M42)</f>
        <v>0</v>
      </c>
    </row>
    <row r="44" spans="1:17" x14ac:dyDescent="0.25">
      <c r="A44" s="19"/>
      <c r="B44" s="20"/>
      <c r="C44" s="205"/>
      <c r="D44" s="282"/>
      <c r="E44" s="266"/>
      <c r="F44" s="241"/>
      <c r="G44" s="241"/>
      <c r="H44" s="190"/>
      <c r="I44" s="190"/>
      <c r="J44" s="190"/>
      <c r="K44" s="168"/>
      <c r="L44" s="155"/>
      <c r="M44" s="128"/>
    </row>
    <row r="45" spans="1:17" x14ac:dyDescent="0.25">
      <c r="A45" s="22" t="str">
        <f>"Övriga rörelseintäkter"</f>
        <v>Övriga rörelseintäkter</v>
      </c>
      <c r="B45" s="6"/>
      <c r="C45" s="203"/>
      <c r="D45" s="278"/>
      <c r="E45" s="263"/>
      <c r="F45" s="239"/>
      <c r="G45" s="239"/>
      <c r="H45" s="188"/>
      <c r="I45" s="188"/>
      <c r="J45" s="188"/>
      <c r="K45" s="6"/>
      <c r="L45" s="153"/>
      <c r="M45" s="129"/>
    </row>
    <row r="46" spans="1:17" x14ac:dyDescent="0.25">
      <c r="A46" s="186" t="s">
        <v>137</v>
      </c>
      <c r="B46" s="6" t="s">
        <v>138</v>
      </c>
      <c r="C46" s="203"/>
      <c r="D46" s="278"/>
      <c r="E46" s="263">
        <v>0</v>
      </c>
      <c r="F46" s="239"/>
      <c r="G46" s="239"/>
      <c r="H46" s="188">
        <v>22000</v>
      </c>
      <c r="I46" s="188"/>
      <c r="J46" s="188"/>
      <c r="K46" s="6"/>
      <c r="L46" s="153"/>
      <c r="M46" s="129"/>
    </row>
    <row r="47" spans="1:17" x14ac:dyDescent="0.25">
      <c r="A47" s="186" t="str">
        <f>"3990"</f>
        <v>3990</v>
      </c>
      <c r="B47" s="5" t="str">
        <f>"Övr ersättn och intäkter"</f>
        <v>Övr ersättn och intäkter</v>
      </c>
      <c r="C47" s="210"/>
      <c r="D47" s="279"/>
      <c r="E47" s="263">
        <v>57992</v>
      </c>
      <c r="F47" s="239"/>
      <c r="G47" s="239"/>
      <c r="H47" s="188">
        <v>9363</v>
      </c>
      <c r="I47" s="188"/>
      <c r="J47" s="188"/>
      <c r="K47" s="169">
        <v>11103</v>
      </c>
      <c r="L47" s="153"/>
      <c r="M47" s="127"/>
    </row>
    <row r="48" spans="1:17" x14ac:dyDescent="0.25">
      <c r="A48" s="186" t="str">
        <f>"3992"</f>
        <v>3992</v>
      </c>
      <c r="B48" s="5" t="s">
        <v>28</v>
      </c>
      <c r="C48" s="210"/>
      <c r="D48" s="279"/>
      <c r="E48" s="263"/>
      <c r="F48" s="239"/>
      <c r="G48" s="239"/>
      <c r="H48" s="188"/>
      <c r="I48" s="188"/>
      <c r="J48" s="188"/>
      <c r="K48" s="169"/>
      <c r="L48" s="153"/>
      <c r="M48" s="127"/>
    </row>
    <row r="49" spans="1:65" x14ac:dyDescent="0.25">
      <c r="A49" s="187">
        <v>3680</v>
      </c>
      <c r="B49" s="6" t="s">
        <v>29</v>
      </c>
      <c r="C49" s="210"/>
      <c r="D49" s="279"/>
      <c r="E49" s="263"/>
      <c r="F49" s="239"/>
      <c r="G49" s="239"/>
      <c r="H49" s="188"/>
      <c r="I49" s="188"/>
      <c r="J49" s="188"/>
      <c r="K49" s="169"/>
      <c r="L49" s="153"/>
      <c r="M49" s="129"/>
    </row>
    <row r="50" spans="1:65" s="1" customFormat="1" ht="15.75" thickBot="1" x14ac:dyDescent="0.3">
      <c r="A50" s="27" t="str">
        <f>"S:a Övriga rörelseintäkter"</f>
        <v>S:a Övriga rörelseintäkter</v>
      </c>
      <c r="B50" s="14"/>
      <c r="C50" s="212">
        <f>SUM(C47:C49)</f>
        <v>0</v>
      </c>
      <c r="D50" s="283">
        <f>SUM(D47:D49)</f>
        <v>0</v>
      </c>
      <c r="E50" s="267">
        <f>SUM(E46:E49)</f>
        <v>57992</v>
      </c>
      <c r="F50" s="240"/>
      <c r="G50" s="240"/>
      <c r="H50" s="170">
        <f>SUM(H46:H49)</f>
        <v>31363</v>
      </c>
      <c r="I50" s="170">
        <f>SUM(I47:I49)</f>
        <v>0</v>
      </c>
      <c r="J50" s="170">
        <f>SUM(J47:J49)</f>
        <v>0</v>
      </c>
      <c r="K50" s="170">
        <f>SUM(K47:K49)</f>
        <v>11103</v>
      </c>
      <c r="L50" s="109">
        <f>SUM(L47:L49)</f>
        <v>0</v>
      </c>
      <c r="M50" s="119">
        <f>SUM(M47:M49)</f>
        <v>0</v>
      </c>
    </row>
    <row r="51" spans="1:65" x14ac:dyDescent="0.25">
      <c r="A51" s="19"/>
      <c r="B51" s="20"/>
      <c r="C51" s="205"/>
      <c r="D51" s="282"/>
      <c r="E51" s="266"/>
      <c r="F51" s="241"/>
      <c r="G51" s="241"/>
      <c r="H51" s="190"/>
      <c r="I51" s="190"/>
      <c r="J51" s="190"/>
      <c r="K51" s="168"/>
      <c r="L51" s="155"/>
      <c r="M51" s="128"/>
    </row>
    <row r="52" spans="1:65" x14ac:dyDescent="0.25">
      <c r="A52" s="26"/>
      <c r="B52" s="6"/>
      <c r="C52" s="203"/>
      <c r="D52" s="278"/>
      <c r="E52" s="263"/>
      <c r="F52" s="239"/>
      <c r="G52" s="239"/>
      <c r="H52" s="188"/>
      <c r="I52" s="188"/>
      <c r="J52" s="188"/>
      <c r="K52" s="6"/>
      <c r="L52" s="153"/>
      <c r="M52" s="129"/>
    </row>
    <row r="53" spans="1:65" s="2" customFormat="1" ht="15.75" thickBot="1" x14ac:dyDescent="0.3">
      <c r="A53" s="32" t="str">
        <f>"S:a Rörelseintäkter och lagerförändring"</f>
        <v>S:a Rörelseintäkter och lagerförändring</v>
      </c>
      <c r="B53" s="33"/>
      <c r="C53" s="147">
        <f>SUM(C38+C43+C50)</f>
        <v>575300</v>
      </c>
      <c r="D53" s="284">
        <f>SUM(D38+D43+D50)</f>
        <v>570500</v>
      </c>
      <c r="E53" s="265">
        <f>E38+E43+E50</f>
        <v>703011.6</v>
      </c>
      <c r="F53" s="242"/>
      <c r="G53" s="242"/>
      <c r="H53" s="163">
        <f t="shared" ref="H53:M53" si="2">H38+H43+H50</f>
        <v>525098.75</v>
      </c>
      <c r="I53" s="163">
        <f t="shared" si="2"/>
        <v>577237.75</v>
      </c>
      <c r="J53" s="163">
        <f t="shared" si="2"/>
        <v>475728</v>
      </c>
      <c r="K53" s="147">
        <f t="shared" si="2"/>
        <v>434232.33</v>
      </c>
      <c r="L53" s="112">
        <f t="shared" si="2"/>
        <v>552456</v>
      </c>
      <c r="M53" s="111">
        <f t="shared" si="2"/>
        <v>411883.5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5">
      <c r="A54" s="19"/>
      <c r="B54" s="20"/>
      <c r="C54" s="205"/>
      <c r="D54" s="282"/>
      <c r="E54" s="266"/>
      <c r="F54" s="241"/>
      <c r="G54" s="241"/>
      <c r="H54" s="190"/>
      <c r="I54" s="190"/>
      <c r="J54" s="190"/>
      <c r="K54" s="168"/>
      <c r="L54" s="155"/>
      <c r="M54" s="128"/>
    </row>
    <row r="55" spans="1:65" x14ac:dyDescent="0.25">
      <c r="A55" s="22" t="str">
        <f>"Rörelsens kostnader"</f>
        <v>Rörelsens kostnader</v>
      </c>
      <c r="B55" s="6"/>
      <c r="C55" s="203"/>
      <c r="D55" s="278"/>
      <c r="E55" s="263"/>
      <c r="F55" s="239"/>
      <c r="G55" s="239"/>
      <c r="H55" s="188"/>
      <c r="I55" s="188"/>
      <c r="J55" s="188"/>
      <c r="K55" s="6"/>
      <c r="L55" s="153"/>
      <c r="M55" s="129"/>
    </row>
    <row r="56" spans="1:65" x14ac:dyDescent="0.25">
      <c r="A56" s="22" t="str">
        <f>"Råvaror och förnödenheter mm"</f>
        <v>Råvaror och förnödenheter mm</v>
      </c>
      <c r="B56" s="6"/>
      <c r="C56" s="203"/>
      <c r="D56" s="278"/>
      <c r="E56" s="263"/>
      <c r="F56" s="239"/>
      <c r="G56" s="239"/>
      <c r="H56" s="188"/>
      <c r="I56" s="188"/>
      <c r="J56" s="188"/>
      <c r="K56" s="6"/>
      <c r="L56" s="153"/>
      <c r="M56" s="129"/>
    </row>
    <row r="57" spans="1:65" x14ac:dyDescent="0.25">
      <c r="A57" s="24" t="s">
        <v>139</v>
      </c>
      <c r="B57" s="5" t="s">
        <v>140</v>
      </c>
      <c r="C57" s="210"/>
      <c r="D57" s="279">
        <v>-1000</v>
      </c>
      <c r="E57" s="263">
        <v>0</v>
      </c>
      <c r="F57" s="239">
        <f t="shared" ref="F57:F66" si="3">-(D57-E57)</f>
        <v>1000</v>
      </c>
      <c r="G57" s="239"/>
      <c r="H57" s="188">
        <v>-902.8</v>
      </c>
      <c r="I57" s="188"/>
      <c r="J57" s="188"/>
      <c r="K57" s="171"/>
      <c r="L57" s="153"/>
      <c r="M57" s="127"/>
    </row>
    <row r="58" spans="1:65" x14ac:dyDescent="0.25">
      <c r="A58" s="24" t="str">
        <f>"4011"</f>
        <v>4011</v>
      </c>
      <c r="B58" s="5" t="str">
        <f>"Anmälningsavgifter"</f>
        <v>Anmälningsavgifter</v>
      </c>
      <c r="C58" s="210">
        <v>-60000</v>
      </c>
      <c r="D58" s="279">
        <v>-50000</v>
      </c>
      <c r="E58" s="263">
        <v>-58541</v>
      </c>
      <c r="F58" s="239">
        <f t="shared" si="3"/>
        <v>-8541</v>
      </c>
      <c r="G58" s="239"/>
      <c r="H58" s="188">
        <v>-47558</v>
      </c>
      <c r="I58" s="188">
        <v>-36647</v>
      </c>
      <c r="J58" s="188">
        <v>-32651</v>
      </c>
      <c r="K58" s="171">
        <v>-22460</v>
      </c>
      <c r="L58" s="153">
        <v>-38723</v>
      </c>
      <c r="M58" s="127">
        <v>-44933</v>
      </c>
    </row>
    <row r="59" spans="1:65" x14ac:dyDescent="0.25">
      <c r="A59" s="24" t="str">
        <f>"4012"</f>
        <v>4012</v>
      </c>
      <c r="B59" s="5" t="str">
        <f>"transportkostnader"</f>
        <v>transportkostnader</v>
      </c>
      <c r="C59" s="210">
        <v>-20000</v>
      </c>
      <c r="D59" s="279">
        <v>-20000</v>
      </c>
      <c r="E59" s="263">
        <v>-2860.91</v>
      </c>
      <c r="F59" s="255">
        <f t="shared" si="3"/>
        <v>17139.09</v>
      </c>
      <c r="G59" s="239"/>
      <c r="H59" s="188">
        <v>-5802</v>
      </c>
      <c r="I59" s="188"/>
      <c r="J59" s="188">
        <v>-4867</v>
      </c>
      <c r="K59" s="171">
        <v>-3587.5</v>
      </c>
      <c r="L59" s="153">
        <v>-3897.5</v>
      </c>
      <c r="M59" s="127">
        <v>-10378</v>
      </c>
    </row>
    <row r="60" spans="1:65" x14ac:dyDescent="0.25">
      <c r="A60" s="24" t="str">
        <f>"4013"</f>
        <v>4013</v>
      </c>
      <c r="B60" s="5" t="str">
        <f>"Kost och logi under tävlingar"</f>
        <v>Kost och logi under tävlingar</v>
      </c>
      <c r="C60" s="210">
        <v>-45000</v>
      </c>
      <c r="D60" s="279">
        <v>-20000</v>
      </c>
      <c r="E60" s="263">
        <v>-39765.21</v>
      </c>
      <c r="F60" s="239">
        <f t="shared" si="3"/>
        <v>-19765.21</v>
      </c>
      <c r="G60" s="239"/>
      <c r="H60" s="188">
        <v>-48567.06</v>
      </c>
      <c r="I60" s="188">
        <v>-14830</v>
      </c>
      <c r="J60" s="188">
        <v>-11800</v>
      </c>
      <c r="K60" s="171">
        <v>-5360</v>
      </c>
      <c r="L60" s="153">
        <v>-12490</v>
      </c>
      <c r="M60" s="127">
        <v>-3540</v>
      </c>
    </row>
    <row r="61" spans="1:65" x14ac:dyDescent="0.25">
      <c r="A61" s="24" t="str">
        <f>"4014"</f>
        <v>4014</v>
      </c>
      <c r="B61" s="5" t="str">
        <f>"Övriga tävlingskostnader"</f>
        <v>Övriga tävlingskostnader</v>
      </c>
      <c r="C61" s="210"/>
      <c r="D61" s="279"/>
      <c r="E61" s="263"/>
      <c r="F61" s="239">
        <f t="shared" si="3"/>
        <v>0</v>
      </c>
      <c r="G61" s="239"/>
      <c r="H61" s="188"/>
      <c r="I61" s="188"/>
      <c r="J61" s="188">
        <v>-3114</v>
      </c>
      <c r="K61" s="171"/>
      <c r="L61" s="153"/>
      <c r="M61" s="127"/>
    </row>
    <row r="62" spans="1:65" x14ac:dyDescent="0.25">
      <c r="A62" s="225" t="str">
        <f>"4020"</f>
        <v>4020</v>
      </c>
      <c r="B62" s="224" t="s">
        <v>152</v>
      </c>
      <c r="C62" s="210">
        <v>-10000</v>
      </c>
      <c r="D62" s="279">
        <v>-6000</v>
      </c>
      <c r="E62" s="263">
        <v>-19782.400000000001</v>
      </c>
      <c r="F62" s="255">
        <f t="shared" si="3"/>
        <v>-13782.400000000001</v>
      </c>
      <c r="G62" s="239"/>
      <c r="H62" s="188">
        <v>-1010</v>
      </c>
      <c r="I62" s="188">
        <v>-8635</v>
      </c>
      <c r="J62" s="188">
        <v>-8784</v>
      </c>
      <c r="K62" s="171">
        <v>-2060</v>
      </c>
      <c r="L62" s="153">
        <v>-1526</v>
      </c>
      <c r="M62" s="127">
        <v>-4627</v>
      </c>
    </row>
    <row r="63" spans="1:65" x14ac:dyDescent="0.25">
      <c r="A63" s="24" t="str">
        <f>"4021"</f>
        <v>4021</v>
      </c>
      <c r="B63" s="5" t="str">
        <f>"Anmälningsavgifter, Läger"</f>
        <v>Anmälningsavgifter, Läger</v>
      </c>
      <c r="C63" s="210"/>
      <c r="D63" s="279"/>
      <c r="E63" s="263"/>
      <c r="F63" s="239">
        <f t="shared" si="3"/>
        <v>0</v>
      </c>
      <c r="G63" s="239"/>
      <c r="H63" s="188"/>
      <c r="I63" s="188"/>
      <c r="J63" s="188"/>
      <c r="K63" s="171"/>
      <c r="L63" s="153"/>
      <c r="M63" s="127"/>
    </row>
    <row r="64" spans="1:65" x14ac:dyDescent="0.25">
      <c r="A64" s="24" t="str">
        <f>"4022"</f>
        <v>4022</v>
      </c>
      <c r="B64" s="5" t="str">
        <f>"Transportkostnader, Läger"</f>
        <v>Transportkostnader, Läger</v>
      </c>
      <c r="C64" s="210"/>
      <c r="D64" s="279"/>
      <c r="E64" s="263"/>
      <c r="F64" s="239">
        <f t="shared" si="3"/>
        <v>0</v>
      </c>
      <c r="G64" s="239"/>
      <c r="H64" s="188"/>
      <c r="I64" s="188"/>
      <c r="J64" s="188"/>
      <c r="K64" s="171"/>
      <c r="L64" s="153"/>
      <c r="M64" s="127"/>
    </row>
    <row r="65" spans="1:18" x14ac:dyDescent="0.25">
      <c r="A65" s="225" t="s">
        <v>30</v>
      </c>
      <c r="B65" s="224" t="s">
        <v>125</v>
      </c>
      <c r="C65" s="210"/>
      <c r="D65" s="279">
        <v>-5000</v>
      </c>
      <c r="E65" s="263">
        <v>0</v>
      </c>
      <c r="F65" s="239">
        <f t="shared" si="3"/>
        <v>5000</v>
      </c>
      <c r="G65" s="239"/>
      <c r="H65" s="188">
        <v>-35531</v>
      </c>
      <c r="I65" s="188">
        <v>-40685</v>
      </c>
      <c r="J65" s="188"/>
      <c r="K65" s="171">
        <v>-1700</v>
      </c>
      <c r="L65" s="153"/>
      <c r="M65" s="127"/>
    </row>
    <row r="66" spans="1:18" x14ac:dyDescent="0.25">
      <c r="A66" s="24" t="str">
        <f>"4024"</f>
        <v>4024</v>
      </c>
      <c r="B66" s="5" t="str">
        <f>"SM läger"</f>
        <v>SM läger</v>
      </c>
      <c r="C66" s="210">
        <v>-15000</v>
      </c>
      <c r="D66" s="279">
        <v>-50000</v>
      </c>
      <c r="E66" s="263">
        <v>-72670.100000000006</v>
      </c>
      <c r="F66" s="239">
        <f t="shared" si="3"/>
        <v>-22670.100000000006</v>
      </c>
      <c r="G66" s="239"/>
      <c r="H66" s="188">
        <v>-45362.8</v>
      </c>
      <c r="I66" s="188">
        <v>-57295</v>
      </c>
      <c r="J66" s="188">
        <v>-43666</v>
      </c>
      <c r="K66" s="171">
        <v>-33695</v>
      </c>
      <c r="L66" s="153">
        <v>-16960</v>
      </c>
      <c r="M66" s="127">
        <v>-22174</v>
      </c>
    </row>
    <row r="67" spans="1:18" x14ac:dyDescent="0.25">
      <c r="A67" s="24" t="s">
        <v>153</v>
      </c>
      <c r="B67" s="5" t="s">
        <v>154</v>
      </c>
      <c r="C67" s="210">
        <v>-10000</v>
      </c>
      <c r="D67" s="279"/>
      <c r="E67" s="263">
        <v>-9939.5300000000007</v>
      </c>
      <c r="F67" s="239"/>
      <c r="G67" s="239"/>
      <c r="H67" s="188"/>
      <c r="I67" s="188"/>
      <c r="J67" s="188"/>
      <c r="K67" s="171"/>
      <c r="L67" s="153"/>
      <c r="M67" s="127"/>
    </row>
    <row r="68" spans="1:18" ht="15" customHeight="1" x14ac:dyDescent="0.25">
      <c r="A68" s="225" t="s">
        <v>32</v>
      </c>
      <c r="B68" s="224" t="s">
        <v>126</v>
      </c>
      <c r="C68" s="210">
        <v>-170000</v>
      </c>
      <c r="D68" s="279">
        <v>-120000</v>
      </c>
      <c r="E68" s="263">
        <v>-169881.18</v>
      </c>
      <c r="F68" s="239">
        <f t="shared" ref="F68:F80" si="4">-(D68-E68)</f>
        <v>-49881.179999999993</v>
      </c>
      <c r="G68" s="239"/>
      <c r="H68" s="188">
        <v>-66249.5</v>
      </c>
      <c r="I68" s="188">
        <v>-37771</v>
      </c>
      <c r="J68" s="188">
        <v>-35043</v>
      </c>
      <c r="K68" s="171">
        <v>-51908</v>
      </c>
      <c r="L68" s="153">
        <v>-68237</v>
      </c>
      <c r="M68" s="127">
        <v>-44493</v>
      </c>
    </row>
    <row r="69" spans="1:18" x14ac:dyDescent="0.25">
      <c r="A69" s="24" t="str">
        <f>"4110"</f>
        <v>4110</v>
      </c>
      <c r="B69" s="5" t="str">
        <f>"Kostnader Kanotskolan"</f>
        <v>Kostnader Kanotskolan</v>
      </c>
      <c r="C69" s="210">
        <v>-10000</v>
      </c>
      <c r="D69" s="279">
        <v>-13000</v>
      </c>
      <c r="E69" s="263">
        <v>-9331.7900000000009</v>
      </c>
      <c r="F69" s="255">
        <f t="shared" si="4"/>
        <v>3668.2099999999991</v>
      </c>
      <c r="G69" s="239"/>
      <c r="H69" s="188">
        <v>-11894</v>
      </c>
      <c r="I69" s="188">
        <v>-20019</v>
      </c>
      <c r="J69" s="188">
        <v>-12819.4</v>
      </c>
      <c r="K69" s="171">
        <v>-14874</v>
      </c>
      <c r="L69" s="153">
        <v>-18212</v>
      </c>
      <c r="M69" s="127">
        <v>-8052</v>
      </c>
    </row>
    <row r="70" spans="1:18" x14ac:dyDescent="0.25">
      <c r="A70" s="24" t="s">
        <v>34</v>
      </c>
      <c r="B70" s="256" t="s">
        <v>141</v>
      </c>
      <c r="C70" s="210">
        <v>-2500</v>
      </c>
      <c r="D70" s="279">
        <v>-6000</v>
      </c>
      <c r="E70" s="263">
        <v>0</v>
      </c>
      <c r="F70" s="255">
        <f t="shared" si="4"/>
        <v>6000</v>
      </c>
      <c r="G70" s="239"/>
      <c r="H70" s="188">
        <v>0</v>
      </c>
      <c r="I70" s="188">
        <v>-2800</v>
      </c>
      <c r="J70" s="188">
        <v>-3200</v>
      </c>
      <c r="K70" s="171">
        <v>-4100</v>
      </c>
      <c r="L70" s="153">
        <v>-10300</v>
      </c>
      <c r="M70" s="127">
        <v>-3600</v>
      </c>
    </row>
    <row r="71" spans="1:18" x14ac:dyDescent="0.25">
      <c r="A71" s="24" t="str">
        <f>"4120"</f>
        <v>4120</v>
      </c>
      <c r="B71" s="5" t="str">
        <f>"Kostnad ungdomsverksamhet"</f>
        <v>Kostnad ungdomsverksamhet</v>
      </c>
      <c r="C71" s="210">
        <v>-25000</v>
      </c>
      <c r="D71" s="279">
        <v>-15000</v>
      </c>
      <c r="E71" s="263">
        <v>-26262.38</v>
      </c>
      <c r="F71" s="255">
        <f t="shared" si="4"/>
        <v>-11262.380000000001</v>
      </c>
      <c r="G71" s="239"/>
      <c r="H71" s="188">
        <v>-14082</v>
      </c>
      <c r="I71" s="188">
        <v>-32802</v>
      </c>
      <c r="J71" s="188">
        <v>-20082.7</v>
      </c>
      <c r="K71" s="171">
        <v>-15443</v>
      </c>
      <c r="L71" s="153">
        <v>-10865</v>
      </c>
      <c r="M71" s="127">
        <v>-6599</v>
      </c>
    </row>
    <row r="72" spans="1:18" x14ac:dyDescent="0.25">
      <c r="A72" s="24" t="s">
        <v>142</v>
      </c>
      <c r="B72" s="5" t="s">
        <v>37</v>
      </c>
      <c r="C72" s="210">
        <v>0</v>
      </c>
      <c r="D72" s="279">
        <v>-4000</v>
      </c>
      <c r="E72" s="263">
        <v>0</v>
      </c>
      <c r="F72" s="239">
        <f t="shared" si="4"/>
        <v>4000</v>
      </c>
      <c r="G72" s="239"/>
      <c r="H72" s="188">
        <v>-14500</v>
      </c>
      <c r="I72" s="188">
        <v>-18859</v>
      </c>
      <c r="J72" s="188">
        <v>-10144</v>
      </c>
      <c r="K72" s="171"/>
      <c r="L72" s="153"/>
      <c r="M72" s="127"/>
    </row>
    <row r="73" spans="1:18" x14ac:dyDescent="0.25">
      <c r="A73" s="24" t="s">
        <v>143</v>
      </c>
      <c r="B73" s="5" t="s">
        <v>144</v>
      </c>
      <c r="C73" s="210">
        <v>-15000</v>
      </c>
      <c r="D73" s="279">
        <v>-5000</v>
      </c>
      <c r="E73" s="263">
        <v>-34934.9</v>
      </c>
      <c r="F73" s="239">
        <f t="shared" si="4"/>
        <v>-29934.9</v>
      </c>
      <c r="G73" s="239"/>
      <c r="H73" s="188">
        <v>-8635</v>
      </c>
      <c r="I73" s="188"/>
      <c r="J73" s="188"/>
      <c r="K73" s="171"/>
      <c r="L73" s="153"/>
      <c r="M73" s="127"/>
    </row>
    <row r="74" spans="1:18" x14ac:dyDescent="0.25">
      <c r="A74" s="24" t="s">
        <v>145</v>
      </c>
      <c r="B74" s="5" t="s">
        <v>146</v>
      </c>
      <c r="C74" s="210">
        <v>-15000</v>
      </c>
      <c r="D74" s="279">
        <v>-18000</v>
      </c>
      <c r="E74" s="263">
        <v>-14495</v>
      </c>
      <c r="F74" s="239">
        <f t="shared" si="4"/>
        <v>3505</v>
      </c>
      <c r="G74" s="239"/>
      <c r="H74" s="188">
        <v>-14495</v>
      </c>
      <c r="I74" s="188"/>
      <c r="J74" s="188"/>
      <c r="K74" s="171"/>
      <c r="L74" s="153"/>
      <c r="M74" s="127"/>
    </row>
    <row r="75" spans="1:18" x14ac:dyDescent="0.25">
      <c r="A75" s="24" t="str">
        <f>"4220"</f>
        <v>4220</v>
      </c>
      <c r="B75" s="5" t="s">
        <v>38</v>
      </c>
      <c r="C75" s="210"/>
      <c r="D75" s="279"/>
      <c r="E75" s="263">
        <v>-52093</v>
      </c>
      <c r="F75" s="255">
        <f t="shared" si="4"/>
        <v>-52093</v>
      </c>
      <c r="G75" s="239"/>
      <c r="H75" s="188">
        <v>-114563</v>
      </c>
      <c r="I75" s="188">
        <v>-25146</v>
      </c>
      <c r="J75" s="188">
        <v>-155862.54999999999</v>
      </c>
      <c r="K75" s="171">
        <v>-117887.33</v>
      </c>
      <c r="L75" s="153">
        <v>-72611.98</v>
      </c>
      <c r="M75" s="127">
        <v>-83127</v>
      </c>
      <c r="N75" s="161"/>
      <c r="O75" s="162"/>
      <c r="P75" s="162"/>
      <c r="Q75" s="162"/>
      <c r="R75" s="4"/>
    </row>
    <row r="76" spans="1:18" x14ac:dyDescent="0.25">
      <c r="A76" s="24" t="s">
        <v>39</v>
      </c>
      <c r="B76" s="5" t="s">
        <v>40</v>
      </c>
      <c r="C76" s="210">
        <v>0</v>
      </c>
      <c r="D76" s="279">
        <v>-5000</v>
      </c>
      <c r="E76" s="263"/>
      <c r="F76" s="239">
        <f t="shared" si="4"/>
        <v>5000</v>
      </c>
      <c r="G76" s="239"/>
      <c r="H76" s="188"/>
      <c r="I76" s="188">
        <v>-7600</v>
      </c>
      <c r="J76" s="188"/>
      <c r="K76" s="171">
        <v>-2000</v>
      </c>
      <c r="L76" s="153">
        <v>-16508</v>
      </c>
      <c r="M76" s="127">
        <v>-21032</v>
      </c>
    </row>
    <row r="77" spans="1:18" x14ac:dyDescent="0.25">
      <c r="A77" s="24" t="s">
        <v>41</v>
      </c>
      <c r="B77" s="5" t="s">
        <v>42</v>
      </c>
      <c r="C77" s="210"/>
      <c r="D77" s="279"/>
      <c r="E77" s="263"/>
      <c r="F77" s="239">
        <f t="shared" si="4"/>
        <v>0</v>
      </c>
      <c r="G77" s="239"/>
      <c r="H77" s="188"/>
      <c r="I77" s="188"/>
      <c r="J77" s="188"/>
      <c r="K77" s="171"/>
      <c r="L77" s="153">
        <v>-11300</v>
      </c>
      <c r="M77" s="127"/>
    </row>
    <row r="78" spans="1:18" x14ac:dyDescent="0.25">
      <c r="A78" s="24" t="str">
        <f>"4610"</f>
        <v>4610</v>
      </c>
      <c r="B78" s="5" t="str">
        <f>"Mötesverksamhet"</f>
        <v>Mötesverksamhet</v>
      </c>
      <c r="C78" s="210">
        <v>-3000</v>
      </c>
      <c r="D78" s="279">
        <v>-7000</v>
      </c>
      <c r="E78" s="263">
        <v>-2832</v>
      </c>
      <c r="F78" s="239">
        <f t="shared" si="4"/>
        <v>4168</v>
      </c>
      <c r="G78" s="239"/>
      <c r="H78" s="188">
        <v>-7165.2</v>
      </c>
      <c r="I78" s="188">
        <v>-1182.45</v>
      </c>
      <c r="J78" s="188">
        <v>-4700</v>
      </c>
      <c r="K78" s="171">
        <v>-8029</v>
      </c>
      <c r="L78" s="153">
        <v>-663</v>
      </c>
      <c r="M78" s="127">
        <v>-223</v>
      </c>
    </row>
    <row r="79" spans="1:18" x14ac:dyDescent="0.25">
      <c r="A79" s="24" t="s">
        <v>43</v>
      </c>
      <c r="B79" s="5" t="s">
        <v>44</v>
      </c>
      <c r="C79" s="210">
        <v>0</v>
      </c>
      <c r="D79" s="279">
        <v>-10000</v>
      </c>
      <c r="E79" s="263"/>
      <c r="F79" s="239">
        <f t="shared" si="4"/>
        <v>10000</v>
      </c>
      <c r="G79" s="239"/>
      <c r="H79" s="188"/>
      <c r="I79" s="188"/>
      <c r="J79" s="188"/>
      <c r="K79" s="171"/>
      <c r="L79" s="153"/>
      <c r="M79" s="127"/>
    </row>
    <row r="80" spans="1:18" x14ac:dyDescent="0.25">
      <c r="A80" s="24" t="str">
        <f>"4710"</f>
        <v>4710</v>
      </c>
      <c r="B80" s="5" t="str">
        <f>"Märken och priser"</f>
        <v>Märken och priser</v>
      </c>
      <c r="C80" s="210">
        <v>-1500</v>
      </c>
      <c r="D80" s="279">
        <v>-5000</v>
      </c>
      <c r="E80" s="263">
        <v>-1268.8</v>
      </c>
      <c r="F80" s="239">
        <f t="shared" si="4"/>
        <v>3731.2</v>
      </c>
      <c r="G80" s="239"/>
      <c r="H80" s="188">
        <v>-6469</v>
      </c>
      <c r="I80" s="188">
        <v>-4401</v>
      </c>
      <c r="J80" s="188">
        <v>-4127</v>
      </c>
      <c r="K80" s="171">
        <v>-3630</v>
      </c>
      <c r="L80" s="153">
        <v>-3710</v>
      </c>
      <c r="M80" s="127">
        <v>-6310</v>
      </c>
    </row>
    <row r="81" spans="1:13" x14ac:dyDescent="0.25">
      <c r="A81" s="24" t="str">
        <f>"4800"</f>
        <v>4800</v>
      </c>
      <c r="B81" s="5" t="str">
        <f>"Medlemmarnas pengar"</f>
        <v>Medlemmarnas pengar</v>
      </c>
      <c r="C81" s="210"/>
      <c r="D81" s="279"/>
      <c r="E81" s="263"/>
      <c r="F81" s="239"/>
      <c r="G81" s="239"/>
      <c r="H81" s="188"/>
      <c r="I81" s="188"/>
      <c r="J81" s="188"/>
      <c r="K81" s="171"/>
      <c r="L81" s="153"/>
      <c r="M81" s="127"/>
    </row>
    <row r="82" spans="1:13" x14ac:dyDescent="0.25">
      <c r="A82" s="26"/>
      <c r="B82" s="6"/>
      <c r="C82" s="210"/>
      <c r="D82" s="279"/>
      <c r="E82" s="263"/>
      <c r="F82" s="239"/>
      <c r="G82" s="239"/>
      <c r="H82" s="188"/>
      <c r="I82" s="188"/>
      <c r="J82" s="188"/>
      <c r="K82" s="6"/>
      <c r="L82" s="153"/>
      <c r="M82" s="129"/>
    </row>
    <row r="83" spans="1:13" s="1" customFormat="1" ht="15.75" thickBot="1" x14ac:dyDescent="0.3">
      <c r="A83" s="27" t="str">
        <f>"S:a Råvaror och förnödenheter mm"</f>
        <v>S:a Råvaror och förnödenheter mm</v>
      </c>
      <c r="B83" s="14"/>
      <c r="C83" s="212">
        <f>SUM(C58:C81)</f>
        <v>-402000</v>
      </c>
      <c r="D83" s="283">
        <f>SUM(D58:D81)</f>
        <v>-359000</v>
      </c>
      <c r="E83" s="265">
        <f>SUM(E57:E81)</f>
        <v>-514658.19999999995</v>
      </c>
      <c r="F83" s="240"/>
      <c r="G83" s="240"/>
      <c r="H83" s="189">
        <f t="shared" ref="H83:M83" si="5">SUM(H57:H81)</f>
        <v>-442786.36</v>
      </c>
      <c r="I83" s="189">
        <f t="shared" si="5"/>
        <v>-308672.45</v>
      </c>
      <c r="J83" s="189">
        <f t="shared" si="5"/>
        <v>-350860.65</v>
      </c>
      <c r="K83" s="170">
        <f t="shared" si="5"/>
        <v>-286733.83</v>
      </c>
      <c r="L83" s="109">
        <f t="shared" si="5"/>
        <v>-286003.48</v>
      </c>
      <c r="M83" s="119">
        <f t="shared" si="5"/>
        <v>-259088</v>
      </c>
    </row>
    <row r="84" spans="1:13" x14ac:dyDescent="0.25">
      <c r="A84" s="19"/>
      <c r="B84" s="20"/>
      <c r="C84" s="205"/>
      <c r="D84" s="282"/>
      <c r="E84" s="266"/>
      <c r="F84" s="241"/>
      <c r="G84" s="241"/>
      <c r="H84" s="190"/>
      <c r="I84" s="190"/>
      <c r="J84" s="190"/>
      <c r="K84" s="168"/>
      <c r="L84" s="155"/>
      <c r="M84" s="128"/>
    </row>
    <row r="85" spans="1:13" x14ac:dyDescent="0.25">
      <c r="A85" s="26"/>
      <c r="B85" s="6"/>
      <c r="C85" s="203"/>
      <c r="D85" s="278"/>
      <c r="E85" s="263"/>
      <c r="F85" s="239"/>
      <c r="G85" s="239"/>
      <c r="H85" s="188"/>
      <c r="I85" s="188"/>
      <c r="J85" s="188"/>
      <c r="K85" s="6"/>
      <c r="L85" s="153"/>
      <c r="M85" s="129"/>
    </row>
    <row r="86" spans="1:13" s="1" customFormat="1" ht="15.75" thickBot="1" x14ac:dyDescent="0.3">
      <c r="A86" s="27" t="str">
        <f>"Bruttovinst"</f>
        <v>Bruttovinst</v>
      </c>
      <c r="B86" s="14"/>
      <c r="C86" s="189">
        <f>C53+C83</f>
        <v>173300</v>
      </c>
      <c r="D86" s="283">
        <f>D53+D83</f>
        <v>211500</v>
      </c>
      <c r="E86" s="265">
        <f>E53+E83</f>
        <v>188353.40000000002</v>
      </c>
      <c r="F86" s="240"/>
      <c r="G86" s="240"/>
      <c r="H86" s="189">
        <f t="shared" ref="H86:M86" si="6">H53+H83</f>
        <v>82312.390000000014</v>
      </c>
      <c r="I86" s="189">
        <f t="shared" si="6"/>
        <v>268565.3</v>
      </c>
      <c r="J86" s="189">
        <f t="shared" si="6"/>
        <v>124867.34999999998</v>
      </c>
      <c r="K86" s="167">
        <f t="shared" si="6"/>
        <v>147498.5</v>
      </c>
      <c r="L86" s="154">
        <f t="shared" si="6"/>
        <v>266452.52</v>
      </c>
      <c r="M86" s="119">
        <f t="shared" si="6"/>
        <v>152795.5</v>
      </c>
    </row>
    <row r="87" spans="1:13" x14ac:dyDescent="0.25">
      <c r="A87" s="19"/>
      <c r="B87" s="20"/>
      <c r="C87" s="205"/>
      <c r="D87" s="282"/>
      <c r="E87" s="266"/>
      <c r="F87" s="241"/>
      <c r="G87" s="241"/>
      <c r="H87" s="190"/>
      <c r="I87" s="190"/>
      <c r="J87" s="190"/>
      <c r="K87" s="168"/>
      <c r="L87" s="155"/>
      <c r="M87" s="128"/>
    </row>
    <row r="88" spans="1:13" x14ac:dyDescent="0.25">
      <c r="A88" s="22" t="str">
        <f>"Övriga externa kostnader"</f>
        <v>Övriga externa kostnader</v>
      </c>
      <c r="B88" s="6"/>
      <c r="C88" s="203"/>
      <c r="D88" s="278"/>
      <c r="E88" s="263"/>
      <c r="F88" s="239"/>
      <c r="G88" s="239"/>
      <c r="H88" s="188"/>
      <c r="I88" s="188"/>
      <c r="J88" s="188"/>
      <c r="K88" s="6"/>
      <c r="L88" s="153"/>
      <c r="M88" s="129"/>
    </row>
    <row r="89" spans="1:13" x14ac:dyDescent="0.25">
      <c r="A89" s="22"/>
      <c r="B89" s="192"/>
      <c r="C89" s="249"/>
      <c r="D89" s="285"/>
      <c r="E89" s="268"/>
      <c r="F89" s="252"/>
      <c r="G89" s="252"/>
      <c r="H89" s="251"/>
      <c r="I89" s="251"/>
      <c r="J89" s="251"/>
      <c r="K89" s="192"/>
      <c r="L89" s="253"/>
      <c r="M89" s="254"/>
    </row>
    <row r="90" spans="1:13" x14ac:dyDescent="0.25">
      <c r="A90" s="24" t="s">
        <v>147</v>
      </c>
      <c r="B90" s="5" t="s">
        <v>148</v>
      </c>
      <c r="C90" s="210"/>
      <c r="D90" s="279"/>
      <c r="E90" s="263"/>
      <c r="F90" s="239">
        <f t="shared" ref="F90:F109" si="7">-(D90-E90)</f>
        <v>0</v>
      </c>
      <c r="G90" s="239"/>
      <c r="H90" s="188"/>
      <c r="I90" s="188">
        <v>-7077</v>
      </c>
      <c r="J90" s="188"/>
      <c r="K90" s="171"/>
      <c r="L90" s="153"/>
      <c r="M90" s="127"/>
    </row>
    <row r="91" spans="1:13" x14ac:dyDescent="0.25">
      <c r="A91" s="24" t="str">
        <f>"5110"</f>
        <v>5110</v>
      </c>
      <c r="B91" s="5" t="str">
        <f>"Arrende"</f>
        <v>Arrende</v>
      </c>
      <c r="C91" s="210">
        <v>-4300</v>
      </c>
      <c r="D91" s="279">
        <v>-4300</v>
      </c>
      <c r="E91" s="263">
        <v>-4213</v>
      </c>
      <c r="F91" s="239">
        <f t="shared" si="7"/>
        <v>87</v>
      </c>
      <c r="G91" s="239"/>
      <c r="H91" s="188">
        <v>-4119</v>
      </c>
      <c r="I91" s="188">
        <v>-4051</v>
      </c>
      <c r="J91" s="188">
        <v>-4004</v>
      </c>
      <c r="K91" s="171">
        <v>-4000</v>
      </c>
      <c r="L91" s="153">
        <v>-1643</v>
      </c>
      <c r="M91" s="127">
        <v>-1643</v>
      </c>
    </row>
    <row r="92" spans="1:13" x14ac:dyDescent="0.25">
      <c r="A92" s="24" t="str">
        <f>"5120"</f>
        <v>5120</v>
      </c>
      <c r="B92" s="5" t="str">
        <f>"Elektricitet"</f>
        <v>Elektricitet</v>
      </c>
      <c r="C92" s="210">
        <v>-30000</v>
      </c>
      <c r="D92" s="279">
        <v>-30000</v>
      </c>
      <c r="E92" s="263">
        <v>-32089</v>
      </c>
      <c r="F92" s="239">
        <f t="shared" si="7"/>
        <v>-2089</v>
      </c>
      <c r="G92" s="239"/>
      <c r="H92" s="188">
        <v>-24974</v>
      </c>
      <c r="I92" s="188">
        <v>-20172</v>
      </c>
      <c r="J92" s="188">
        <v>-15738</v>
      </c>
      <c r="K92" s="171">
        <v>-21431</v>
      </c>
      <c r="L92" s="153">
        <v>-24526</v>
      </c>
      <c r="M92" s="127">
        <v>-28939</v>
      </c>
    </row>
    <row r="93" spans="1:13" x14ac:dyDescent="0.25">
      <c r="A93" s="24" t="str">
        <f>"5140"</f>
        <v>5140</v>
      </c>
      <c r="B93" s="5" t="str">
        <f>"Vatten och sophämtning"</f>
        <v>Vatten och sophämtning</v>
      </c>
      <c r="C93" s="210">
        <v>-10000</v>
      </c>
      <c r="D93" s="279">
        <v>-10000</v>
      </c>
      <c r="E93" s="263">
        <v>-9609</v>
      </c>
      <c r="F93" s="239">
        <f t="shared" si="7"/>
        <v>391</v>
      </c>
      <c r="G93" s="239"/>
      <c r="H93" s="188">
        <v>-9718</v>
      </c>
      <c r="I93" s="188">
        <v>-6787</v>
      </c>
      <c r="J93" s="188">
        <v>-4833</v>
      </c>
      <c r="K93" s="171">
        <v>-6464</v>
      </c>
      <c r="L93" s="153">
        <v>-5849</v>
      </c>
      <c r="M93" s="127">
        <v>-6178</v>
      </c>
    </row>
    <row r="94" spans="1:13" x14ac:dyDescent="0.25">
      <c r="A94" s="24" t="s">
        <v>45</v>
      </c>
      <c r="B94" s="5" t="s">
        <v>46</v>
      </c>
      <c r="C94" s="210"/>
      <c r="D94" s="279"/>
      <c r="E94" s="263">
        <v>-10145</v>
      </c>
      <c r="F94" s="255">
        <f t="shared" si="7"/>
        <v>-10145</v>
      </c>
      <c r="G94" s="239"/>
      <c r="H94" s="188"/>
      <c r="J94" s="188"/>
      <c r="K94" s="171">
        <v>-8039.38</v>
      </c>
      <c r="L94" s="153"/>
      <c r="M94" s="127"/>
    </row>
    <row r="95" spans="1:13" x14ac:dyDescent="0.25">
      <c r="A95" s="24" t="str">
        <f>"5170"</f>
        <v>5170</v>
      </c>
      <c r="B95" s="5" t="str">
        <f>"Fastighetsunderhåll"</f>
        <v>Fastighetsunderhåll</v>
      </c>
      <c r="C95" s="210">
        <v>-10000</v>
      </c>
      <c r="D95" s="279">
        <v>-10000</v>
      </c>
      <c r="E95" s="263">
        <v>-10831.7</v>
      </c>
      <c r="F95" s="239">
        <f t="shared" si="7"/>
        <v>-831.70000000000073</v>
      </c>
      <c r="G95" s="239"/>
      <c r="H95" s="188">
        <v>-113866.87</v>
      </c>
      <c r="I95" s="188">
        <v>-135001.76999999999</v>
      </c>
      <c r="J95" s="188">
        <v>-1287</v>
      </c>
      <c r="K95" s="171">
        <v>-5540.5</v>
      </c>
      <c r="L95" s="153">
        <v>-18240</v>
      </c>
      <c r="M95" s="127">
        <v>-53805</v>
      </c>
    </row>
    <row r="96" spans="1:13" x14ac:dyDescent="0.25">
      <c r="A96" s="24" t="s">
        <v>47</v>
      </c>
      <c r="B96" s="5" t="s">
        <v>48</v>
      </c>
      <c r="C96" s="210"/>
      <c r="D96" s="279"/>
      <c r="E96" s="263"/>
      <c r="F96" s="239">
        <f t="shared" si="7"/>
        <v>0</v>
      </c>
      <c r="G96" s="239"/>
      <c r="H96" s="188"/>
      <c r="I96" s="188"/>
      <c r="J96" s="188"/>
      <c r="K96" s="171">
        <v>-4006</v>
      </c>
      <c r="L96" s="153">
        <v>-61624.5</v>
      </c>
      <c r="M96" s="127"/>
    </row>
    <row r="97" spans="1:13" x14ac:dyDescent="0.25">
      <c r="A97" s="24" t="str">
        <f>"5410"</f>
        <v>5410</v>
      </c>
      <c r="B97" s="5" t="str">
        <f>"Förbrukningsinventarier"</f>
        <v>Förbrukningsinventarier</v>
      </c>
      <c r="C97" s="210">
        <v>-15000</v>
      </c>
      <c r="D97" s="279">
        <v>-15000</v>
      </c>
      <c r="E97" s="263">
        <v>-16461.900000000001</v>
      </c>
      <c r="F97" s="255">
        <f t="shared" si="7"/>
        <v>-1461.9000000000015</v>
      </c>
      <c r="G97" s="239"/>
      <c r="H97" s="188">
        <v>-43884.6</v>
      </c>
      <c r="I97" s="188">
        <v>-2639</v>
      </c>
      <c r="J97" s="188">
        <v>-13444</v>
      </c>
      <c r="K97" s="171">
        <v>-1795</v>
      </c>
      <c r="L97" s="153">
        <v>-1038</v>
      </c>
      <c r="M97" s="127">
        <v>-1675</v>
      </c>
    </row>
    <row r="98" spans="1:13" x14ac:dyDescent="0.25">
      <c r="A98" s="24" t="str">
        <f>"5420"</f>
        <v>5420</v>
      </c>
      <c r="B98" s="5" t="str">
        <f>"Programvaror"</f>
        <v>Programvaror</v>
      </c>
      <c r="C98" s="210"/>
      <c r="D98" s="279"/>
      <c r="E98" s="263"/>
      <c r="F98" s="239">
        <f t="shared" si="7"/>
        <v>0</v>
      </c>
      <c r="G98" s="239"/>
      <c r="H98" s="188"/>
      <c r="I98" s="188"/>
      <c r="J98" s="188"/>
      <c r="K98" s="171"/>
      <c r="L98" s="153">
        <v>-1265</v>
      </c>
      <c r="M98" s="127">
        <v>-1200</v>
      </c>
    </row>
    <row r="99" spans="1:13" x14ac:dyDescent="0.25">
      <c r="A99" s="24" t="s">
        <v>49</v>
      </c>
      <c r="B99" s="5" t="s">
        <v>50</v>
      </c>
      <c r="C99" s="210">
        <v>-10000</v>
      </c>
      <c r="D99" s="279">
        <v>-1500</v>
      </c>
      <c r="E99" s="263">
        <v>-9988.17</v>
      </c>
      <c r="F99" s="255">
        <f t="shared" si="7"/>
        <v>-8488.17</v>
      </c>
      <c r="G99" s="239"/>
      <c r="H99" s="188">
        <v>-1525.8</v>
      </c>
      <c r="I99" s="188">
        <v>-6039.33</v>
      </c>
      <c r="J99" s="188">
        <v>-1616</v>
      </c>
      <c r="K99" s="171">
        <v>-3556</v>
      </c>
      <c r="L99" s="153"/>
      <c r="M99" s="127"/>
    </row>
    <row r="100" spans="1:13" x14ac:dyDescent="0.25">
      <c r="A100" s="24" t="str">
        <f>"5500"</f>
        <v>5500</v>
      </c>
      <c r="B100" s="5" t="str">
        <f>"Kanotunderhåll"</f>
        <v>Kanotunderhåll</v>
      </c>
      <c r="C100" s="210">
        <v>-10000</v>
      </c>
      <c r="D100" s="279">
        <v>-10000</v>
      </c>
      <c r="E100" s="263">
        <v>-1212.7</v>
      </c>
      <c r="F100" s="255">
        <f t="shared" si="7"/>
        <v>8787.2999999999993</v>
      </c>
      <c r="G100" s="239"/>
      <c r="H100" s="188">
        <v>-1752.8</v>
      </c>
      <c r="I100" s="188">
        <v>0</v>
      </c>
      <c r="J100" s="188"/>
      <c r="K100" s="171">
        <v>-2258</v>
      </c>
      <c r="L100" s="153">
        <v>-4670</v>
      </c>
      <c r="M100" s="127">
        <v>-1400</v>
      </c>
    </row>
    <row r="101" spans="1:13" x14ac:dyDescent="0.25">
      <c r="A101" s="24" t="str">
        <f>"5611"</f>
        <v>5611</v>
      </c>
      <c r="B101" s="5" t="s">
        <v>51</v>
      </c>
      <c r="C101" s="210">
        <v>-3000</v>
      </c>
      <c r="D101" s="279">
        <v>-3000</v>
      </c>
      <c r="E101" s="263">
        <v>-3277.79</v>
      </c>
      <c r="F101" s="239">
        <f t="shared" si="7"/>
        <v>-277.78999999999996</v>
      </c>
      <c r="G101" s="239"/>
      <c r="H101" s="188">
        <v>-2789.82</v>
      </c>
      <c r="I101" s="188">
        <v>1414.08</v>
      </c>
      <c r="J101" s="188">
        <v>-875</v>
      </c>
      <c r="K101" s="171">
        <v>-1569</v>
      </c>
      <c r="L101" s="153">
        <v>-573</v>
      </c>
      <c r="M101" s="127">
        <v>-1867</v>
      </c>
    </row>
    <row r="102" spans="1:13" x14ac:dyDescent="0.25">
      <c r="A102" s="24" t="str">
        <f>"5612"</f>
        <v>5612</v>
      </c>
      <c r="B102" s="5" t="str">
        <f>"Försäkring"</f>
        <v>Försäkring</v>
      </c>
      <c r="C102" s="210">
        <v>-20000</v>
      </c>
      <c r="D102" s="279">
        <v>-25000</v>
      </c>
      <c r="E102" s="263">
        <v>-17955</v>
      </c>
      <c r="F102" s="255">
        <f t="shared" si="7"/>
        <v>7045</v>
      </c>
      <c r="G102" s="239"/>
      <c r="H102" s="188">
        <v>-21275</v>
      </c>
      <c r="I102" s="188">
        <v>-16185</v>
      </c>
      <c r="J102" s="188">
        <v>-7266</v>
      </c>
      <c r="K102" s="171">
        <v>-28098</v>
      </c>
      <c r="L102" s="153">
        <v>-27736</v>
      </c>
      <c r="M102" s="127">
        <v>-43706</v>
      </c>
    </row>
    <row r="103" spans="1:13" x14ac:dyDescent="0.25">
      <c r="A103" s="24" t="s">
        <v>52</v>
      </c>
      <c r="B103" s="5" t="s">
        <v>53</v>
      </c>
      <c r="C103" s="210">
        <v>-1750</v>
      </c>
      <c r="D103" s="279"/>
      <c r="E103" s="263">
        <v>-1714</v>
      </c>
      <c r="F103" s="255">
        <f t="shared" si="7"/>
        <v>-1714</v>
      </c>
      <c r="G103" s="239"/>
      <c r="H103" s="188"/>
      <c r="I103" s="188"/>
      <c r="J103" s="188"/>
      <c r="K103" s="171">
        <v>-4371</v>
      </c>
      <c r="L103" s="153"/>
      <c r="M103" s="127">
        <v>-400</v>
      </c>
    </row>
    <row r="104" spans="1:13" x14ac:dyDescent="0.25">
      <c r="A104" s="24"/>
      <c r="B104" s="5"/>
      <c r="C104" s="210"/>
      <c r="D104" s="279"/>
      <c r="E104" s="263"/>
      <c r="F104" s="255">
        <f t="shared" si="7"/>
        <v>0</v>
      </c>
      <c r="G104" s="239"/>
      <c r="H104" s="188"/>
      <c r="I104" s="188"/>
      <c r="J104" s="188"/>
      <c r="K104" s="171"/>
      <c r="L104" s="153">
        <v>-315</v>
      </c>
      <c r="M104" s="127"/>
    </row>
    <row r="105" spans="1:13" x14ac:dyDescent="0.25">
      <c r="A105" s="24" t="str">
        <f>"5620"</f>
        <v>5620</v>
      </c>
      <c r="B105" s="5" t="s">
        <v>54</v>
      </c>
      <c r="C105" s="210">
        <v>-1500</v>
      </c>
      <c r="D105" s="279">
        <v>-1500</v>
      </c>
      <c r="E105" s="263">
        <v>0</v>
      </c>
      <c r="F105" s="255">
        <f t="shared" si="7"/>
        <v>1500</v>
      </c>
      <c r="G105" s="239"/>
      <c r="H105" s="188">
        <v>-1445.9</v>
      </c>
      <c r="I105" s="188">
        <v>-49893</v>
      </c>
      <c r="J105" s="188">
        <v>-2295</v>
      </c>
      <c r="K105" s="171">
        <v>-8015</v>
      </c>
      <c r="L105" s="153">
        <v>-1476</v>
      </c>
      <c r="M105" s="127">
        <v>-1721</v>
      </c>
    </row>
    <row r="106" spans="1:13" x14ac:dyDescent="0.25">
      <c r="A106" s="24" t="s">
        <v>55</v>
      </c>
      <c r="B106" s="5" t="s">
        <v>56</v>
      </c>
      <c r="C106" s="210"/>
      <c r="D106" s="279"/>
      <c r="E106" s="263"/>
      <c r="F106" s="255">
        <f t="shared" si="7"/>
        <v>0</v>
      </c>
      <c r="G106" s="239"/>
      <c r="H106" s="188"/>
      <c r="I106" s="188"/>
      <c r="J106" s="188"/>
      <c r="K106" s="171"/>
      <c r="L106" s="153"/>
      <c r="M106" s="127"/>
    </row>
    <row r="107" spans="1:13" x14ac:dyDescent="0.25">
      <c r="A107" s="24" t="str">
        <f>"6110"</f>
        <v>6110</v>
      </c>
      <c r="B107" s="5" t="str">
        <f>"Kontorsmaterial"</f>
        <v>Kontorsmaterial</v>
      </c>
      <c r="C107" s="210">
        <v>-500</v>
      </c>
      <c r="D107" s="279">
        <v>-500</v>
      </c>
      <c r="E107" s="263"/>
      <c r="F107" s="255">
        <f t="shared" si="7"/>
        <v>500</v>
      </c>
      <c r="G107" s="239"/>
      <c r="H107" s="188"/>
      <c r="I107" s="188"/>
      <c r="J107" s="188">
        <v>-148</v>
      </c>
      <c r="K107" s="171">
        <v>-1733</v>
      </c>
      <c r="L107" s="153">
        <v>-138</v>
      </c>
      <c r="M107" s="127">
        <v>-115</v>
      </c>
    </row>
    <row r="108" spans="1:13" x14ac:dyDescent="0.25">
      <c r="A108" s="24" t="str">
        <f>"6210"</f>
        <v>6210</v>
      </c>
      <c r="B108" s="5" t="str">
        <f>"Telefon"</f>
        <v>Telefon</v>
      </c>
      <c r="C108" s="210"/>
      <c r="D108" s="279"/>
      <c r="E108" s="263"/>
      <c r="F108" s="255">
        <f t="shared" si="7"/>
        <v>0</v>
      </c>
      <c r="G108" s="239"/>
      <c r="H108" s="188"/>
      <c r="I108" s="188"/>
      <c r="J108" s="188"/>
      <c r="K108" s="171"/>
      <c r="L108" s="153">
        <v>-440</v>
      </c>
      <c r="M108" s="127">
        <v>-1928</v>
      </c>
    </row>
    <row r="109" spans="1:13" x14ac:dyDescent="0.25">
      <c r="A109" s="24" t="str">
        <f>"6250"</f>
        <v>6250</v>
      </c>
      <c r="B109" s="5" t="str">
        <f>"Porto"</f>
        <v>Porto</v>
      </c>
      <c r="C109" s="210"/>
      <c r="D109" s="279"/>
      <c r="E109" s="263"/>
      <c r="F109" s="255">
        <f t="shared" si="7"/>
        <v>0</v>
      </c>
      <c r="G109" s="239"/>
      <c r="H109" s="188"/>
      <c r="I109" s="188"/>
      <c r="J109" s="188">
        <v>-183</v>
      </c>
      <c r="K109" s="171">
        <v>-140</v>
      </c>
      <c r="L109" s="153">
        <v>-60</v>
      </c>
      <c r="M109" s="127">
        <v>-60</v>
      </c>
    </row>
    <row r="110" spans="1:13" x14ac:dyDescent="0.25">
      <c r="A110" s="24" t="s">
        <v>127</v>
      </c>
      <c r="B110" s="5" t="s">
        <v>128</v>
      </c>
      <c r="C110" s="210">
        <v>-25000</v>
      </c>
      <c r="D110" s="279">
        <v>-15000</v>
      </c>
      <c r="E110" s="263">
        <v>-26174</v>
      </c>
      <c r="F110" s="239"/>
      <c r="G110" s="239"/>
      <c r="H110" s="188">
        <v>-27425</v>
      </c>
      <c r="I110" s="188">
        <v>-16680</v>
      </c>
      <c r="J110" s="188"/>
      <c r="K110" s="171"/>
      <c r="L110" s="153"/>
      <c r="M110" s="127"/>
    </row>
    <row r="111" spans="1:13" x14ac:dyDescent="0.25">
      <c r="A111" s="24" t="str">
        <f>"6570"</f>
        <v>6570</v>
      </c>
      <c r="B111" s="5" t="str">
        <f>"Bankkostnader"</f>
        <v>Bankkostnader</v>
      </c>
      <c r="C111" s="210">
        <v>-1200</v>
      </c>
      <c r="D111" s="279">
        <v>-1200</v>
      </c>
      <c r="E111" s="263">
        <v>-971.99</v>
      </c>
      <c r="F111" s="255">
        <f>-(D111-E111)</f>
        <v>228.01</v>
      </c>
      <c r="G111" s="239"/>
      <c r="H111" s="188">
        <v>-927</v>
      </c>
      <c r="I111" s="188">
        <v>-909</v>
      </c>
      <c r="J111" s="188">
        <v>-615</v>
      </c>
      <c r="K111" s="171">
        <v>-4.5</v>
      </c>
      <c r="L111" s="153">
        <v>-1869</v>
      </c>
      <c r="M111" s="127">
        <v>-1971</v>
      </c>
    </row>
    <row r="112" spans="1:13" x14ac:dyDescent="0.25">
      <c r="A112" s="24" t="str">
        <f>"6980"</f>
        <v>6980</v>
      </c>
      <c r="B112" s="5" t="str">
        <f>"Föreningsavgift /Licenser"</f>
        <v>Föreningsavgift /Licenser</v>
      </c>
      <c r="C112" s="210">
        <v>-15000</v>
      </c>
      <c r="D112" s="279">
        <v>-20000</v>
      </c>
      <c r="E112" s="263">
        <v>-14550</v>
      </c>
      <c r="F112" s="255">
        <f>-(D112-E112)</f>
        <v>5450</v>
      </c>
      <c r="G112" s="239"/>
      <c r="H112" s="188">
        <v>-18200</v>
      </c>
      <c r="I112" s="188">
        <v>-23420</v>
      </c>
      <c r="J112" s="188">
        <v>-17180</v>
      </c>
      <c r="K112" s="171">
        <v>-15790</v>
      </c>
      <c r="L112" s="153">
        <v>-26978</v>
      </c>
      <c r="M112" s="127">
        <v>-24550</v>
      </c>
    </row>
    <row r="113" spans="1:65" x14ac:dyDescent="0.25">
      <c r="A113" s="24" t="str">
        <f>"6990"</f>
        <v>6990</v>
      </c>
      <c r="B113" s="5" t="str">
        <f>"Övriga Kostnader"</f>
        <v>Övriga Kostnader</v>
      </c>
      <c r="C113" s="210">
        <v>-5000</v>
      </c>
      <c r="D113" s="279">
        <v>-3000</v>
      </c>
      <c r="E113" s="263">
        <v>-4954.95</v>
      </c>
      <c r="F113" s="255">
        <f>-(D113-E113)</f>
        <v>-1954.9499999999998</v>
      </c>
      <c r="G113" s="239"/>
      <c r="H113" s="188">
        <v>-3187.5</v>
      </c>
      <c r="I113" s="188">
        <v>-778</v>
      </c>
      <c r="J113" s="188">
        <v>-4730.79</v>
      </c>
      <c r="K113" s="171">
        <v>-3998.66</v>
      </c>
      <c r="L113" s="153">
        <v>-3766.5</v>
      </c>
      <c r="M113" s="127">
        <v>-14526.5</v>
      </c>
    </row>
    <row r="114" spans="1:65" x14ac:dyDescent="0.25">
      <c r="A114" s="26"/>
      <c r="B114" s="6"/>
      <c r="C114" s="210"/>
      <c r="D114" s="279"/>
      <c r="E114" s="263"/>
      <c r="F114" s="239"/>
      <c r="G114" s="239"/>
      <c r="H114" s="188"/>
      <c r="I114" s="188"/>
      <c r="J114" s="188"/>
      <c r="K114" s="6"/>
      <c r="L114" s="153"/>
      <c r="M114" s="127"/>
    </row>
    <row r="115" spans="1:65" s="1" customFormat="1" ht="15.75" thickBot="1" x14ac:dyDescent="0.3">
      <c r="A115" s="27" t="str">
        <f>"S:a Övriga externa kostnader"</f>
        <v>S:a Övriga externa kostnader</v>
      </c>
      <c r="B115" s="14"/>
      <c r="C115" s="212">
        <f>SUM(C91:C113)</f>
        <v>-162250</v>
      </c>
      <c r="D115" s="283">
        <f>SUM(D91:D113)</f>
        <v>-150000</v>
      </c>
      <c r="E115" s="265">
        <f>SUM(E91:E113)</f>
        <v>-164148.20000000001</v>
      </c>
      <c r="F115" s="240"/>
      <c r="G115" s="240"/>
      <c r="H115" s="189">
        <f t="shared" ref="H115:M115" si="8">SUM(H91:H113)</f>
        <v>-275091.28999999998</v>
      </c>
      <c r="I115" s="189">
        <f t="shared" si="8"/>
        <v>-281141.02</v>
      </c>
      <c r="J115" s="189">
        <f t="shared" si="8"/>
        <v>-74214.789999999994</v>
      </c>
      <c r="K115" s="170">
        <f t="shared" si="8"/>
        <v>-120809.04000000001</v>
      </c>
      <c r="L115" s="109">
        <f t="shared" si="8"/>
        <v>-182207</v>
      </c>
      <c r="M115" s="119">
        <f t="shared" si="8"/>
        <v>-185684.5</v>
      </c>
    </row>
    <row r="116" spans="1:65" s="1" customFormat="1" ht="15.75" thickBot="1" x14ac:dyDescent="0.3">
      <c r="A116" s="80"/>
      <c r="B116" s="81"/>
      <c r="C116" s="206"/>
      <c r="D116" s="286"/>
      <c r="E116" s="269"/>
      <c r="F116" s="243"/>
      <c r="G116" s="243"/>
      <c r="H116" s="197"/>
      <c r="I116" s="197"/>
      <c r="J116" s="197"/>
      <c r="K116" s="172"/>
      <c r="L116" s="158"/>
      <c r="M116" s="130"/>
    </row>
    <row r="117" spans="1:65" x14ac:dyDescent="0.25">
      <c r="A117" s="19"/>
      <c r="B117" s="20"/>
      <c r="C117" s="205"/>
      <c r="D117" s="282"/>
      <c r="E117" s="266"/>
      <c r="F117" s="241"/>
      <c r="G117" s="241"/>
      <c r="H117" s="190"/>
      <c r="I117" s="190"/>
      <c r="J117" s="190"/>
      <c r="K117" s="168"/>
      <c r="L117" s="155"/>
      <c r="M117" s="131"/>
    </row>
    <row r="118" spans="1:65" x14ac:dyDescent="0.25">
      <c r="A118" s="22" t="str">
        <f>"Personalkostnader"</f>
        <v>Personalkostnader</v>
      </c>
      <c r="B118" s="6"/>
      <c r="C118" s="203"/>
      <c r="D118" s="278"/>
      <c r="E118" s="263"/>
      <c r="F118" s="239"/>
      <c r="G118" s="239"/>
      <c r="H118" s="188"/>
      <c r="I118" s="188"/>
      <c r="J118" s="188"/>
      <c r="K118" s="6"/>
      <c r="L118" s="153"/>
      <c r="M118" s="127"/>
    </row>
    <row r="119" spans="1:65" x14ac:dyDescent="0.25">
      <c r="A119" s="24" t="s">
        <v>57</v>
      </c>
      <c r="B119" s="5" t="s">
        <v>58</v>
      </c>
      <c r="C119" s="210">
        <v>-1500</v>
      </c>
      <c r="D119" s="279">
        <v>-1500</v>
      </c>
      <c r="E119" s="263">
        <v>0</v>
      </c>
      <c r="F119" s="255">
        <f>-(D119-E119)</f>
        <v>1500</v>
      </c>
      <c r="G119" s="239"/>
      <c r="H119" s="188">
        <v>-1600</v>
      </c>
      <c r="I119" s="188">
        <v>-1500</v>
      </c>
      <c r="J119" s="188">
        <v>-4050</v>
      </c>
      <c r="K119" s="171">
        <v>-600</v>
      </c>
      <c r="L119" s="153">
        <v>-900</v>
      </c>
      <c r="M119" s="127">
        <v>-2200</v>
      </c>
    </row>
    <row r="120" spans="1:65" x14ac:dyDescent="0.25">
      <c r="A120" s="24" t="str">
        <f>"7210"</f>
        <v>7210</v>
      </c>
      <c r="B120" s="5" t="str">
        <f>"Resekostnads ersättning"</f>
        <v>Resekostnads ersättning</v>
      </c>
      <c r="C120" s="210">
        <v>-2000</v>
      </c>
      <c r="D120" s="279">
        <v>-5000</v>
      </c>
      <c r="E120" s="263">
        <v>-1365</v>
      </c>
      <c r="F120" s="239">
        <f>-(D120-E120)</f>
        <v>3635</v>
      </c>
      <c r="G120" s="239"/>
      <c r="H120" s="188">
        <v>-6146.89</v>
      </c>
      <c r="I120" s="188">
        <v>-2673</v>
      </c>
      <c r="J120" s="188">
        <v>-851</v>
      </c>
      <c r="K120" s="171">
        <v>-610</v>
      </c>
      <c r="L120" s="153">
        <v>-6961</v>
      </c>
      <c r="M120" s="127">
        <v>-6040</v>
      </c>
    </row>
    <row r="121" spans="1:65" x14ac:dyDescent="0.25">
      <c r="A121" s="24" t="str">
        <f>"7610"</f>
        <v>7610</v>
      </c>
      <c r="B121" s="5" t="str">
        <f>"Utbildning"</f>
        <v>Utbildning</v>
      </c>
      <c r="C121" s="210"/>
      <c r="D121" s="279"/>
      <c r="E121" s="263">
        <v>-6703.5</v>
      </c>
      <c r="F121" s="255">
        <f>-(D121-E121)</f>
        <v>-6703.5</v>
      </c>
      <c r="G121" s="239"/>
      <c r="H121" s="188">
        <v>0</v>
      </c>
      <c r="I121" s="188">
        <v>-13629</v>
      </c>
      <c r="J121" s="188">
        <v>-7796</v>
      </c>
      <c r="K121" s="171"/>
      <c r="L121" s="153">
        <v>-11671</v>
      </c>
      <c r="M121" s="127">
        <v>-18925</v>
      </c>
    </row>
    <row r="122" spans="1:65" x14ac:dyDescent="0.25">
      <c r="A122" s="26"/>
      <c r="B122" s="6" t="s">
        <v>37</v>
      </c>
      <c r="C122" s="210"/>
      <c r="D122" s="279"/>
      <c r="E122" s="263"/>
      <c r="F122" s="239"/>
      <c r="G122" s="239"/>
      <c r="H122" s="188"/>
      <c r="I122" s="188"/>
      <c r="J122" s="188"/>
      <c r="K122" s="6"/>
      <c r="L122" s="153"/>
      <c r="M122" s="127"/>
    </row>
    <row r="123" spans="1:65" s="1" customFormat="1" ht="15.75" thickBot="1" x14ac:dyDescent="0.3">
      <c r="A123" s="27" t="str">
        <f>"S:a Personalkostnader"</f>
        <v>S:a Personalkostnader</v>
      </c>
      <c r="B123" s="14"/>
      <c r="C123" s="212">
        <f>SUM(C119:C121)</f>
        <v>-3500</v>
      </c>
      <c r="D123" s="283">
        <f>SUM(D119:D121)</f>
        <v>-6500</v>
      </c>
      <c r="E123" s="265">
        <f>SUM(E119:E121)</f>
        <v>-8068.5</v>
      </c>
      <c r="F123" s="240"/>
      <c r="G123" s="240"/>
      <c r="H123" s="189">
        <f t="shared" ref="H123:M123" si="9">SUM(H119:H121)</f>
        <v>-7746.89</v>
      </c>
      <c r="I123" s="189">
        <f t="shared" si="9"/>
        <v>-17802</v>
      </c>
      <c r="J123" s="189">
        <f t="shared" si="9"/>
        <v>-12697</v>
      </c>
      <c r="K123" s="170">
        <f t="shared" si="9"/>
        <v>-1210</v>
      </c>
      <c r="L123" s="154">
        <f t="shared" si="9"/>
        <v>-19532</v>
      </c>
      <c r="M123" s="119">
        <f t="shared" si="9"/>
        <v>-27165</v>
      </c>
    </row>
    <row r="124" spans="1:65" x14ac:dyDescent="0.25">
      <c r="A124" s="19"/>
      <c r="B124" s="20"/>
      <c r="C124" s="205"/>
      <c r="D124" s="282"/>
      <c r="E124" s="266"/>
      <c r="F124" s="241"/>
      <c r="G124" s="241"/>
      <c r="H124" s="190"/>
      <c r="I124" s="190"/>
      <c r="J124" s="190"/>
      <c r="K124" s="168"/>
      <c r="L124" s="155"/>
      <c r="M124" s="131"/>
    </row>
    <row r="125" spans="1:65" x14ac:dyDescent="0.25">
      <c r="A125" s="26"/>
      <c r="B125" s="6"/>
      <c r="C125" s="203"/>
      <c r="D125" s="278"/>
      <c r="E125" s="263"/>
      <c r="F125" s="239"/>
      <c r="G125" s="239"/>
      <c r="H125" s="188"/>
      <c r="I125" s="188"/>
      <c r="J125" s="188"/>
      <c r="K125" s="6"/>
      <c r="L125" s="153"/>
      <c r="M125" s="127"/>
    </row>
    <row r="126" spans="1:65" s="2" customFormat="1" ht="15.75" thickBot="1" x14ac:dyDescent="0.3">
      <c r="A126" s="32" t="str">
        <f>"S:a Rörelsens kostnader inkl råvaror mm"</f>
        <v>S:a Rörelsens kostnader inkl råvaror mm</v>
      </c>
      <c r="B126" s="33"/>
      <c r="C126" s="147">
        <f>SUM(C83+C115+C123)</f>
        <v>-567750</v>
      </c>
      <c r="D126" s="242">
        <f>SUM(D83+D115+D123)</f>
        <v>-515500</v>
      </c>
      <c r="E126" s="242">
        <f>E83+E115+E123</f>
        <v>-686874.89999999991</v>
      </c>
      <c r="F126" s="242"/>
      <c r="G126" s="242"/>
      <c r="H126" s="163">
        <f>H83+H115+H123</f>
        <v>-725624.53999999992</v>
      </c>
      <c r="I126" s="163">
        <f>I83+I115+I123</f>
        <v>-607615.47</v>
      </c>
      <c r="J126" s="163">
        <f>J83+J115+J123</f>
        <v>-437772.44</v>
      </c>
      <c r="K126" s="149">
        <f>K83+K123+K115</f>
        <v>-408752.87</v>
      </c>
      <c r="L126" s="110">
        <f>L83+L123+L115</f>
        <v>-487742.48</v>
      </c>
      <c r="M126" s="111">
        <f>M83+M115+M123</f>
        <v>-471937.5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s="2" customFormat="1" x14ac:dyDescent="0.25">
      <c r="A127" s="51"/>
      <c r="B127" s="17"/>
      <c r="C127" s="207"/>
      <c r="D127" s="287"/>
      <c r="E127" s="270"/>
      <c r="F127" s="244"/>
      <c r="G127" s="244"/>
      <c r="H127" s="191"/>
      <c r="I127" s="191"/>
      <c r="J127" s="191"/>
      <c r="K127" s="81"/>
      <c r="L127" s="156"/>
      <c r="M127" s="13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s="2" customFormat="1" x14ac:dyDescent="0.25">
      <c r="A128" s="51" t="s">
        <v>59</v>
      </c>
      <c r="B128" s="17" t="s">
        <v>60</v>
      </c>
      <c r="C128" s="208"/>
      <c r="D128" s="288"/>
      <c r="E128" s="271"/>
      <c r="F128" s="245"/>
      <c r="G128" s="245"/>
      <c r="H128" s="198"/>
      <c r="I128" s="198"/>
      <c r="J128" s="198"/>
      <c r="K128" s="17">
        <v>118.94</v>
      </c>
      <c r="L128" s="157">
        <v>7419</v>
      </c>
      <c r="M128" s="132">
        <v>708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x14ac:dyDescent="0.25">
      <c r="A129" s="26"/>
      <c r="B129" s="6"/>
      <c r="C129" s="203"/>
      <c r="D129" s="278"/>
      <c r="E129" s="263"/>
      <c r="F129" s="239"/>
      <c r="G129" s="239"/>
      <c r="H129" s="188"/>
      <c r="I129" s="188"/>
      <c r="J129" s="188"/>
      <c r="K129" s="6"/>
      <c r="L129" s="153"/>
      <c r="M129" s="127"/>
    </row>
    <row r="130" spans="1:65" s="3" customFormat="1" x14ac:dyDescent="0.25">
      <c r="A130" s="113" t="str">
        <f>"Beräknat resultat"</f>
        <v>Beräknat resultat</v>
      </c>
      <c r="B130" s="114"/>
      <c r="C130" s="150">
        <f>C53+C126</f>
        <v>7550</v>
      </c>
      <c r="D130" s="114">
        <f>D53+D126</f>
        <v>55000</v>
      </c>
      <c r="E130" s="114">
        <f>E53+E126+E128</f>
        <v>16136.70000000007</v>
      </c>
      <c r="F130" s="246"/>
      <c r="G130" s="246"/>
      <c r="H130" s="164">
        <f t="shared" ref="H130:M130" si="10">H53+H126+H128</f>
        <v>-200525.78999999992</v>
      </c>
      <c r="I130" s="164">
        <f t="shared" si="10"/>
        <v>-30377.719999999972</v>
      </c>
      <c r="J130" s="164">
        <f t="shared" si="10"/>
        <v>37955.56</v>
      </c>
      <c r="K130" s="150">
        <f t="shared" si="10"/>
        <v>25598.40000000002</v>
      </c>
      <c r="L130" s="115">
        <f t="shared" si="10"/>
        <v>72132.520000000019</v>
      </c>
      <c r="M130" s="116">
        <f t="shared" si="10"/>
        <v>-59346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ht="15.75" thickBot="1" x14ac:dyDescent="0.3">
      <c r="A131" s="37"/>
      <c r="B131" s="15"/>
      <c r="C131" s="15"/>
      <c r="D131" s="15"/>
      <c r="E131" s="15"/>
      <c r="F131" s="247"/>
      <c r="G131" s="247"/>
      <c r="H131" s="15"/>
      <c r="I131" s="15"/>
      <c r="J131" s="15"/>
      <c r="K131" s="15"/>
      <c r="L131" s="109"/>
      <c r="M131" s="15"/>
    </row>
    <row r="132" spans="1:65" x14ac:dyDescent="0.25">
      <c r="D132"/>
      <c r="E132"/>
    </row>
    <row r="133" spans="1:65" x14ac:dyDescent="0.25">
      <c r="D133"/>
      <c r="E133"/>
    </row>
    <row r="134" spans="1:65" x14ac:dyDescent="0.25">
      <c r="D134"/>
      <c r="E134"/>
    </row>
    <row r="135" spans="1:65" x14ac:dyDescent="0.25">
      <c r="D135"/>
      <c r="E135"/>
    </row>
    <row r="136" spans="1:65" x14ac:dyDescent="0.25">
      <c r="D136"/>
      <c r="E136"/>
    </row>
    <row r="137" spans="1:65" x14ac:dyDescent="0.25">
      <c r="D137"/>
      <c r="E137"/>
    </row>
    <row r="138" spans="1:65" x14ac:dyDescent="0.25">
      <c r="D138"/>
      <c r="E138"/>
    </row>
    <row r="139" spans="1:65" x14ac:dyDescent="0.25">
      <c r="D139"/>
      <c r="E139"/>
    </row>
    <row r="140" spans="1:65" x14ac:dyDescent="0.25">
      <c r="D140"/>
      <c r="E140"/>
    </row>
    <row r="141" spans="1:65" x14ac:dyDescent="0.25">
      <c r="D141"/>
      <c r="E141"/>
    </row>
    <row r="142" spans="1:65" x14ac:dyDescent="0.25">
      <c r="D142"/>
      <c r="E142"/>
    </row>
    <row r="143" spans="1:65" x14ac:dyDescent="0.25">
      <c r="D143"/>
      <c r="E143"/>
    </row>
    <row r="144" spans="1:65" x14ac:dyDescent="0.25">
      <c r="D144"/>
      <c r="E144"/>
    </row>
    <row r="145" spans="4:5" x14ac:dyDescent="0.25">
      <c r="D145"/>
      <c r="E145"/>
    </row>
    <row r="146" spans="4:5" x14ac:dyDescent="0.25">
      <c r="D146"/>
      <c r="E146"/>
    </row>
    <row r="147" spans="4:5" x14ac:dyDescent="0.25">
      <c r="D147"/>
      <c r="E147"/>
    </row>
    <row r="148" spans="4:5" x14ac:dyDescent="0.25">
      <c r="D148"/>
      <c r="E148"/>
    </row>
    <row r="149" spans="4:5" x14ac:dyDescent="0.25">
      <c r="D149"/>
      <c r="E149"/>
    </row>
    <row r="150" spans="4:5" x14ac:dyDescent="0.25">
      <c r="D150"/>
      <c r="E150"/>
    </row>
    <row r="151" spans="4:5" x14ac:dyDescent="0.25">
      <c r="D151"/>
      <c r="E151"/>
    </row>
    <row r="152" spans="4:5" x14ac:dyDescent="0.25">
      <c r="D152"/>
      <c r="E152"/>
    </row>
    <row r="153" spans="4:5" x14ac:dyDescent="0.25">
      <c r="D153"/>
      <c r="E153"/>
    </row>
    <row r="154" spans="4:5" x14ac:dyDescent="0.25">
      <c r="D154"/>
      <c r="E154"/>
    </row>
    <row r="155" spans="4:5" x14ac:dyDescent="0.25">
      <c r="D155"/>
      <c r="E155"/>
    </row>
    <row r="156" spans="4:5" x14ac:dyDescent="0.25">
      <c r="D156"/>
      <c r="E156"/>
    </row>
    <row r="157" spans="4:5" x14ac:dyDescent="0.25">
      <c r="D157"/>
      <c r="E157"/>
    </row>
    <row r="158" spans="4:5" x14ac:dyDescent="0.25">
      <c r="D158"/>
      <c r="E158"/>
    </row>
    <row r="159" spans="4:5" x14ac:dyDescent="0.25">
      <c r="D159"/>
      <c r="E159"/>
    </row>
    <row r="160" spans="4:5" x14ac:dyDescent="0.25">
      <c r="D160"/>
      <c r="E160"/>
    </row>
    <row r="161" spans="4:5" x14ac:dyDescent="0.25">
      <c r="D161"/>
      <c r="E161"/>
    </row>
    <row r="162" spans="4:5" x14ac:dyDescent="0.25">
      <c r="D162"/>
      <c r="E162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FF08-0D02-4E58-9001-0ACC9542C89B}">
  <dimension ref="A1:BN168"/>
  <sheetViews>
    <sheetView topLeftCell="A3" workbookViewId="0">
      <selection activeCell="A3" sqref="A1:XFD1048576"/>
    </sheetView>
  </sheetViews>
  <sheetFormatPr defaultRowHeight="15" x14ac:dyDescent="0.25"/>
  <cols>
    <col min="1" max="1" width="12.28515625" customWidth="1"/>
    <col min="2" max="2" width="31.42578125" customWidth="1"/>
    <col min="3" max="4" width="17.28515625" bestFit="1" customWidth="1"/>
    <col min="5" max="5" width="15.7109375" style="272" customWidth="1"/>
    <col min="6" max="6" width="13.28515625" style="248" bestFit="1" customWidth="1"/>
    <col min="7" max="7" width="4.5703125" style="248" customWidth="1"/>
    <col min="8" max="11" width="15.7109375" customWidth="1"/>
    <col min="12" max="13" width="14.28515625" customWidth="1"/>
    <col min="14" max="14" width="13.7109375" style="4" customWidth="1"/>
    <col min="15" max="15" width="20.7109375" bestFit="1" customWidth="1"/>
    <col min="16" max="16" width="16" customWidth="1"/>
    <col min="17" max="17" width="12.7109375" customWidth="1"/>
    <col min="18" max="18" width="32.7109375" bestFit="1" customWidth="1"/>
    <col min="19" max="19" width="11.7109375" bestFit="1" customWidth="1"/>
  </cols>
  <sheetData>
    <row r="1" spans="1:14" hidden="1" x14ac:dyDescent="0.25">
      <c r="A1" s="9"/>
      <c r="C1" s="47"/>
      <c r="D1" s="47" t="s">
        <v>1</v>
      </c>
      <c r="E1" s="257"/>
      <c r="F1" s="233"/>
      <c r="G1" s="233"/>
      <c r="H1" s="194"/>
      <c r="I1" s="194"/>
      <c r="J1" s="194"/>
      <c r="K1" s="194"/>
      <c r="L1" s="47"/>
      <c r="M1" s="47"/>
      <c r="N1" s="10"/>
    </row>
    <row r="2" spans="1:14" hidden="1" x14ac:dyDescent="0.25">
      <c r="A2" s="9"/>
      <c r="B2" s="87"/>
      <c r="C2" s="87"/>
      <c r="D2" s="87" t="s">
        <v>2</v>
      </c>
      <c r="E2" s="258"/>
      <c r="F2" s="234"/>
      <c r="G2" s="234"/>
      <c r="H2" s="195"/>
      <c r="I2" s="195"/>
      <c r="J2" s="195"/>
      <c r="K2" s="195"/>
      <c r="L2" s="87"/>
      <c r="M2" s="7"/>
      <c r="N2" s="10"/>
    </row>
    <row r="3" spans="1:14" x14ac:dyDescent="0.25">
      <c r="A3" s="6"/>
      <c r="B3" s="47" t="s">
        <v>0</v>
      </c>
      <c r="C3" s="200">
        <v>2021</v>
      </c>
      <c r="D3" s="275">
        <v>2020</v>
      </c>
      <c r="E3" s="259">
        <v>2020</v>
      </c>
      <c r="F3" s="235"/>
      <c r="G3" s="235"/>
      <c r="H3" s="58">
        <v>2019</v>
      </c>
      <c r="I3" s="58">
        <v>2018</v>
      </c>
      <c r="J3" s="58">
        <v>2017</v>
      </c>
      <c r="K3" s="58">
        <v>2016</v>
      </c>
      <c r="L3" s="58">
        <v>2015</v>
      </c>
      <c r="M3" s="58">
        <v>2014</v>
      </c>
      <c r="N3" s="121">
        <v>2013</v>
      </c>
    </row>
    <row r="4" spans="1:14" ht="15.75" thickBot="1" x14ac:dyDescent="0.3">
      <c r="A4" s="16"/>
      <c r="B4" s="16"/>
      <c r="C4" s="201" t="s">
        <v>4</v>
      </c>
      <c r="D4" s="276" t="s">
        <v>4</v>
      </c>
      <c r="E4" s="260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122" t="s">
        <v>5</v>
      </c>
    </row>
    <row r="5" spans="1:14" x14ac:dyDescent="0.25">
      <c r="A5" s="19"/>
      <c r="B5" s="20"/>
      <c r="C5" s="202"/>
      <c r="D5" s="277"/>
      <c r="E5" s="261"/>
      <c r="F5" s="237" t="s">
        <v>149</v>
      </c>
      <c r="G5" s="237"/>
      <c r="H5" s="20"/>
      <c r="I5" s="20"/>
      <c r="J5" s="20"/>
      <c r="K5" s="20"/>
      <c r="L5" s="20"/>
      <c r="M5" s="20"/>
      <c r="N5" s="123"/>
    </row>
    <row r="6" spans="1:14" x14ac:dyDescent="0.25">
      <c r="A6" s="22" t="str">
        <f>"Rörelsens intäkter och lagerförändring"</f>
        <v>Rörelsens intäkter och lagerförändring</v>
      </c>
      <c r="B6" s="6"/>
      <c r="C6" s="203"/>
      <c r="D6" s="278"/>
      <c r="E6" s="262"/>
      <c r="F6" s="238"/>
      <c r="G6" s="238"/>
      <c r="H6" s="6"/>
      <c r="I6" s="6"/>
      <c r="J6" s="6"/>
      <c r="K6" s="6"/>
      <c r="L6" s="6"/>
      <c r="M6" s="6"/>
      <c r="N6" s="124"/>
    </row>
    <row r="7" spans="1:14" x14ac:dyDescent="0.25">
      <c r="A7" s="22" t="str">
        <f>"Nettoomsättning"</f>
        <v>Nettoomsättning</v>
      </c>
      <c r="B7" s="6"/>
      <c r="C7" s="203"/>
      <c r="D7" s="278"/>
      <c r="E7" s="262"/>
      <c r="F7" s="238"/>
      <c r="G7" s="238"/>
      <c r="H7" s="6"/>
      <c r="I7" s="6"/>
      <c r="J7" s="6"/>
      <c r="K7" s="6"/>
      <c r="L7" s="6"/>
      <c r="M7" s="6"/>
      <c r="N7" s="124"/>
    </row>
    <row r="8" spans="1:14" x14ac:dyDescent="0.25">
      <c r="A8" s="186" t="str">
        <f>"3110"</f>
        <v>3110</v>
      </c>
      <c r="B8" s="5" t="str">
        <f>"Medlemsavgifter"</f>
        <v>Medlemsavgifter</v>
      </c>
      <c r="C8" s="210">
        <v>26000</v>
      </c>
      <c r="D8" s="279">
        <v>90000</v>
      </c>
      <c r="E8" s="263">
        <v>24600</v>
      </c>
      <c r="F8" s="239">
        <f>-(D8-E8-E9)</f>
        <v>-15100</v>
      </c>
      <c r="G8" s="239"/>
      <c r="H8" s="290">
        <v>88115</v>
      </c>
      <c r="I8" s="188">
        <v>83200</v>
      </c>
      <c r="J8" s="188">
        <v>95550</v>
      </c>
      <c r="K8" s="188">
        <v>94050</v>
      </c>
      <c r="L8" s="165">
        <v>92225</v>
      </c>
      <c r="M8" s="153">
        <v>91000</v>
      </c>
      <c r="N8" s="125">
        <v>83650</v>
      </c>
    </row>
    <row r="9" spans="1:14" x14ac:dyDescent="0.25">
      <c r="A9" s="186" t="s">
        <v>155</v>
      </c>
      <c r="B9" s="5" t="s">
        <v>156</v>
      </c>
      <c r="C9" s="210">
        <v>55000</v>
      </c>
      <c r="D9" s="279"/>
      <c r="E9" s="263">
        <v>50300</v>
      </c>
      <c r="F9" s="239"/>
      <c r="G9" s="239"/>
      <c r="H9" s="290"/>
      <c r="I9" s="188"/>
      <c r="J9" s="188"/>
      <c r="K9" s="188"/>
      <c r="L9" s="165"/>
      <c r="M9" s="153"/>
      <c r="N9" s="125"/>
    </row>
    <row r="10" spans="1:14" x14ac:dyDescent="0.25">
      <c r="A10" s="186" t="str">
        <f>"3120"</f>
        <v>3120</v>
      </c>
      <c r="B10" s="5" t="str">
        <f>"Intäkter kanothyra"</f>
        <v>Intäkter kanothyra</v>
      </c>
      <c r="C10" s="210">
        <v>13000</v>
      </c>
      <c r="D10" s="279">
        <v>20000</v>
      </c>
      <c r="E10" s="263">
        <v>11050</v>
      </c>
      <c r="F10" s="239">
        <f t="shared" ref="F10:F21" si="0">-(D10-E10)</f>
        <v>-8950</v>
      </c>
      <c r="G10" s="239"/>
      <c r="H10" s="290">
        <v>20000</v>
      </c>
      <c r="I10" s="188">
        <v>14605</v>
      </c>
      <c r="J10" s="188">
        <v>24825</v>
      </c>
      <c r="K10" s="188">
        <v>15440</v>
      </c>
      <c r="L10" s="165">
        <v>13125</v>
      </c>
      <c r="M10" s="153">
        <v>17450</v>
      </c>
      <c r="N10" s="125">
        <v>13450</v>
      </c>
    </row>
    <row r="11" spans="1:14" x14ac:dyDescent="0.25">
      <c r="A11" s="186" t="str">
        <f>"3130"</f>
        <v>3130</v>
      </c>
      <c r="B11" s="5" t="str">
        <f>"Intäkter kanotplats"</f>
        <v>Intäkter kanotplats</v>
      </c>
      <c r="C11" s="210">
        <v>22000</v>
      </c>
      <c r="D11" s="279">
        <v>20000</v>
      </c>
      <c r="E11" s="263">
        <v>20803.59</v>
      </c>
      <c r="F11" s="239">
        <f t="shared" si="0"/>
        <v>803.59000000000015</v>
      </c>
      <c r="G11" s="239"/>
      <c r="H11" s="290">
        <v>19450</v>
      </c>
      <c r="I11" s="188">
        <v>22300</v>
      </c>
      <c r="J11" s="188">
        <v>21800</v>
      </c>
      <c r="K11" s="188">
        <v>24625</v>
      </c>
      <c r="L11" s="165">
        <v>23375</v>
      </c>
      <c r="M11" s="153">
        <v>17713</v>
      </c>
      <c r="N11" s="125">
        <v>18175</v>
      </c>
    </row>
    <row r="12" spans="1:14" x14ac:dyDescent="0.25">
      <c r="A12" s="186" t="str">
        <f>"3140"</f>
        <v>3140</v>
      </c>
      <c r="B12" s="5" t="str">
        <f>"Intäkter kanotskola"</f>
        <v>Intäkter kanotskola</v>
      </c>
      <c r="C12" s="210">
        <v>50000</v>
      </c>
      <c r="D12" s="279">
        <v>25000</v>
      </c>
      <c r="E12" s="263">
        <v>61190</v>
      </c>
      <c r="F12" s="239">
        <f t="shared" si="0"/>
        <v>36190</v>
      </c>
      <c r="G12" s="239"/>
      <c r="H12" s="290">
        <v>28330</v>
      </c>
      <c r="I12" s="188">
        <v>13980</v>
      </c>
      <c r="J12" s="188">
        <v>19500</v>
      </c>
      <c r="K12" s="188">
        <v>17550</v>
      </c>
      <c r="L12" s="165">
        <v>25525</v>
      </c>
      <c r="M12" s="153">
        <v>35750</v>
      </c>
      <c r="N12" s="125">
        <v>24535</v>
      </c>
    </row>
    <row r="13" spans="1:14" x14ac:dyDescent="0.25">
      <c r="A13" s="186" t="str">
        <f>"3142"</f>
        <v>3142</v>
      </c>
      <c r="B13" s="5" t="str">
        <f>"Prova-på-paddling"</f>
        <v>Prova-på-paddling</v>
      </c>
      <c r="C13" s="210">
        <v>2000</v>
      </c>
      <c r="D13" s="279">
        <v>1000</v>
      </c>
      <c r="E13" s="263">
        <v>2100</v>
      </c>
      <c r="F13" s="239">
        <f t="shared" si="0"/>
        <v>1100</v>
      </c>
      <c r="G13" s="239"/>
      <c r="H13" s="290">
        <v>1300</v>
      </c>
      <c r="I13" s="188">
        <v>0</v>
      </c>
      <c r="J13" s="188">
        <v>10500</v>
      </c>
      <c r="K13" s="188">
        <v>13600</v>
      </c>
      <c r="L13" s="165">
        <v>12400</v>
      </c>
      <c r="M13" s="153">
        <v>18000</v>
      </c>
      <c r="N13" s="125">
        <v>7200</v>
      </c>
    </row>
    <row r="14" spans="1:14" x14ac:dyDescent="0.25">
      <c r="A14" s="186" t="s">
        <v>6</v>
      </c>
      <c r="B14" s="5" t="s">
        <v>7</v>
      </c>
      <c r="C14" s="210">
        <v>0</v>
      </c>
      <c r="D14" s="279">
        <v>5000</v>
      </c>
      <c r="E14" s="263">
        <v>0</v>
      </c>
      <c r="F14" s="239">
        <f t="shared" si="0"/>
        <v>-5000</v>
      </c>
      <c r="G14" s="239"/>
      <c r="H14" s="290">
        <v>2150</v>
      </c>
      <c r="I14" s="188">
        <v>5100</v>
      </c>
      <c r="J14" s="188">
        <v>4700</v>
      </c>
      <c r="K14" s="188">
        <v>16200</v>
      </c>
      <c r="L14" s="165">
        <v>6000</v>
      </c>
      <c r="M14" s="153">
        <v>3100</v>
      </c>
      <c r="N14" s="125">
        <v>7600</v>
      </c>
    </row>
    <row r="15" spans="1:14" x14ac:dyDescent="0.25">
      <c r="A15" s="186" t="str">
        <f>"3211"</f>
        <v>3211</v>
      </c>
      <c r="B15" s="5" t="str">
        <f>"Anmälningsavgifter"</f>
        <v>Anmälningsavgifter</v>
      </c>
      <c r="C15" s="210">
        <v>30000</v>
      </c>
      <c r="D15" s="279">
        <v>30000</v>
      </c>
      <c r="E15" s="263">
        <v>14275</v>
      </c>
      <c r="F15" s="255">
        <f t="shared" si="0"/>
        <v>-15725</v>
      </c>
      <c r="G15" s="239"/>
      <c r="H15" s="290">
        <v>29875</v>
      </c>
      <c r="I15" s="188">
        <v>11980</v>
      </c>
      <c r="J15" s="188">
        <v>7425</v>
      </c>
      <c r="K15" s="188">
        <v>7800</v>
      </c>
      <c r="L15" s="165">
        <v>6400</v>
      </c>
      <c r="M15" s="153">
        <v>12000</v>
      </c>
      <c r="N15" s="125">
        <v>13120</v>
      </c>
    </row>
    <row r="16" spans="1:14" x14ac:dyDescent="0.25">
      <c r="A16" s="186" t="str">
        <f>"3212"</f>
        <v>3212</v>
      </c>
      <c r="B16" s="5" t="str">
        <f>"Transportavgift"</f>
        <v>Transportavgift</v>
      </c>
      <c r="C16" s="210"/>
      <c r="D16" s="279"/>
      <c r="E16" s="263"/>
      <c r="F16" s="239">
        <f t="shared" si="0"/>
        <v>0</v>
      </c>
      <c r="G16" s="239"/>
      <c r="H16" s="290"/>
      <c r="I16" s="188"/>
      <c r="J16" s="188"/>
      <c r="K16" s="188"/>
      <c r="L16" s="165">
        <v>400</v>
      </c>
      <c r="M16" s="153">
        <v>100</v>
      </c>
      <c r="N16" s="125">
        <v>1800</v>
      </c>
    </row>
    <row r="17" spans="1:17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30000</v>
      </c>
      <c r="D17" s="279">
        <v>45000</v>
      </c>
      <c r="E17" s="263">
        <v>7070</v>
      </c>
      <c r="F17" s="255">
        <f t="shared" si="0"/>
        <v>-37930</v>
      </c>
      <c r="G17" s="239"/>
      <c r="H17" s="290">
        <v>42320</v>
      </c>
      <c r="I17" s="188">
        <v>46140</v>
      </c>
      <c r="J17" s="188">
        <v>10126.75</v>
      </c>
      <c r="K17" s="188">
        <v>7635</v>
      </c>
      <c r="L17" s="165">
        <v>5390</v>
      </c>
      <c r="M17" s="153">
        <v>12555</v>
      </c>
      <c r="N17" s="125">
        <v>2400</v>
      </c>
    </row>
    <row r="18" spans="1:17" x14ac:dyDescent="0.25">
      <c r="A18" s="186"/>
      <c r="B18" s="44"/>
      <c r="C18" s="211"/>
      <c r="D18" s="280"/>
      <c r="E18" s="264"/>
      <c r="F18" s="239">
        <f t="shared" si="0"/>
        <v>0</v>
      </c>
      <c r="G18" s="239"/>
      <c r="H18" s="291"/>
      <c r="I18" s="196"/>
      <c r="J18" s="196"/>
      <c r="K18" s="196"/>
      <c r="L18" s="166"/>
      <c r="M18" s="153"/>
      <c r="N18" s="126"/>
    </row>
    <row r="19" spans="1:17" x14ac:dyDescent="0.25">
      <c r="A19" s="186" t="str">
        <f>"3221"</f>
        <v>3221</v>
      </c>
      <c r="B19" s="5" t="s">
        <v>122</v>
      </c>
      <c r="C19" s="210">
        <v>0</v>
      </c>
      <c r="D19" s="279">
        <v>10000</v>
      </c>
      <c r="E19" s="263">
        <v>0</v>
      </c>
      <c r="F19" s="239">
        <f t="shared" si="0"/>
        <v>-10000</v>
      </c>
      <c r="G19" s="239"/>
      <c r="H19" s="290">
        <v>9750</v>
      </c>
      <c r="I19" s="188">
        <v>2200</v>
      </c>
      <c r="J19" s="188">
        <v>8900</v>
      </c>
      <c r="K19" s="188">
        <v>9850</v>
      </c>
      <c r="L19" s="165">
        <v>8200</v>
      </c>
      <c r="M19" s="153">
        <v>5450</v>
      </c>
      <c r="N19" s="125">
        <v>1650</v>
      </c>
    </row>
    <row r="20" spans="1:17" x14ac:dyDescent="0.25">
      <c r="A20" s="186" t="s">
        <v>11</v>
      </c>
      <c r="B20" s="5" t="s">
        <v>123</v>
      </c>
      <c r="C20" s="210"/>
      <c r="D20" s="279">
        <v>0</v>
      </c>
      <c r="E20" s="263"/>
      <c r="F20" s="239">
        <f t="shared" si="0"/>
        <v>0</v>
      </c>
      <c r="G20" s="239"/>
      <c r="H20" s="290"/>
      <c r="I20" s="188"/>
      <c r="J20" s="188"/>
      <c r="K20" s="188"/>
      <c r="L20" s="165"/>
      <c r="M20" s="153"/>
      <c r="N20" s="125"/>
    </row>
    <row r="21" spans="1:17" x14ac:dyDescent="0.25">
      <c r="A21" s="186" t="str">
        <f>"3223"</f>
        <v>3223</v>
      </c>
      <c r="B21" s="5" t="str">
        <f>"Intäkter SM läger"</f>
        <v>Intäkter SM läger</v>
      </c>
      <c r="C21" s="210">
        <v>0</v>
      </c>
      <c r="D21" s="279">
        <v>12000</v>
      </c>
      <c r="E21" s="263">
        <v>0</v>
      </c>
      <c r="F21" s="255">
        <f t="shared" si="0"/>
        <v>-12000</v>
      </c>
      <c r="G21" s="239"/>
      <c r="H21" s="290">
        <v>46850</v>
      </c>
      <c r="I21" s="188">
        <v>22540</v>
      </c>
      <c r="J21" s="188">
        <v>22500</v>
      </c>
      <c r="K21" s="188">
        <v>17100</v>
      </c>
      <c r="L21" s="165">
        <v>18000</v>
      </c>
      <c r="M21" s="153">
        <v>7500</v>
      </c>
      <c r="N21" s="125">
        <v>8400</v>
      </c>
    </row>
    <row r="22" spans="1:17" x14ac:dyDescent="0.25">
      <c r="A22" s="186" t="s">
        <v>13</v>
      </c>
      <c r="B22" s="5" t="s">
        <v>157</v>
      </c>
      <c r="C22" s="210">
        <v>50000</v>
      </c>
      <c r="D22" s="279">
        <v>60000</v>
      </c>
      <c r="E22" s="263">
        <v>0</v>
      </c>
      <c r="F22" s="255">
        <f t="shared" ref="F22:F24" si="1">-(D22-E22)</f>
        <v>-60000</v>
      </c>
      <c r="G22" s="239"/>
      <c r="H22" s="290">
        <v>60814</v>
      </c>
      <c r="I22" s="188">
        <v>24271</v>
      </c>
      <c r="J22" s="188">
        <v>4052</v>
      </c>
      <c r="K22" s="188"/>
      <c r="L22" s="165">
        <v>5434</v>
      </c>
      <c r="M22" s="153">
        <v>11030</v>
      </c>
      <c r="N22" s="125">
        <v>13415.5</v>
      </c>
    </row>
    <row r="23" spans="1:17" x14ac:dyDescent="0.25">
      <c r="A23" s="186" t="s">
        <v>130</v>
      </c>
      <c r="B23" s="5" t="s">
        <v>131</v>
      </c>
      <c r="C23" s="210">
        <v>8000</v>
      </c>
      <c r="D23" s="279">
        <v>8000</v>
      </c>
      <c r="E23" s="263">
        <v>8250</v>
      </c>
      <c r="F23" s="255">
        <f t="shared" si="1"/>
        <v>250</v>
      </c>
      <c r="G23" s="239"/>
      <c r="H23" s="290">
        <v>7247</v>
      </c>
      <c r="I23" s="188">
        <v>7248</v>
      </c>
      <c r="J23" s="188">
        <v>0</v>
      </c>
      <c r="K23" s="188"/>
      <c r="L23" s="165"/>
      <c r="M23" s="153"/>
      <c r="N23" s="125"/>
    </row>
    <row r="24" spans="1:17" x14ac:dyDescent="0.25">
      <c r="A24" s="186" t="s">
        <v>158</v>
      </c>
      <c r="B24" s="5" t="s">
        <v>159</v>
      </c>
      <c r="C24" s="210">
        <v>15000</v>
      </c>
      <c r="D24" s="279"/>
      <c r="E24" s="263">
        <v>12699.5</v>
      </c>
      <c r="F24" s="255">
        <f t="shared" si="1"/>
        <v>12699.5</v>
      </c>
      <c r="G24" s="239"/>
      <c r="H24" s="290"/>
      <c r="I24" s="188"/>
      <c r="J24" s="188"/>
      <c r="K24" s="188"/>
      <c r="L24" s="165"/>
      <c r="M24" s="153"/>
      <c r="N24" s="125"/>
    </row>
    <row r="25" spans="1:17" x14ac:dyDescent="0.25">
      <c r="A25" s="186" t="str">
        <f>"3310"</f>
        <v>3310</v>
      </c>
      <c r="B25" s="5" t="s">
        <v>160</v>
      </c>
      <c r="C25" s="210">
        <v>3000</v>
      </c>
      <c r="D25" s="279">
        <v>3300</v>
      </c>
      <c r="E25" s="263">
        <v>3058</v>
      </c>
      <c r="F25" s="255">
        <f t="shared" ref="F25:F30" si="2">-(D25-E25)</f>
        <v>-242</v>
      </c>
      <c r="G25" s="239"/>
      <c r="H25" s="290">
        <v>3254</v>
      </c>
      <c r="I25" s="188">
        <v>2694</v>
      </c>
      <c r="J25" s="188">
        <v>3787</v>
      </c>
      <c r="K25" s="188">
        <v>910</v>
      </c>
      <c r="L25" s="165">
        <v>1092</v>
      </c>
      <c r="M25" s="153">
        <v>3943</v>
      </c>
      <c r="N25" s="125">
        <v>2388</v>
      </c>
    </row>
    <row r="26" spans="1:17" x14ac:dyDescent="0.25">
      <c r="A26" s="186" t="s">
        <v>15</v>
      </c>
      <c r="B26" s="5" t="s">
        <v>16</v>
      </c>
      <c r="C26" s="210"/>
      <c r="D26" s="279">
        <v>0</v>
      </c>
      <c r="E26" s="263"/>
      <c r="F26" s="239">
        <f t="shared" si="2"/>
        <v>0</v>
      </c>
      <c r="G26" s="239"/>
      <c r="H26" s="290"/>
      <c r="I26" s="188"/>
      <c r="J26" s="188"/>
      <c r="K26" s="188"/>
      <c r="L26" s="165"/>
      <c r="M26" s="153"/>
      <c r="N26" s="125"/>
    </row>
    <row r="27" spans="1:17" x14ac:dyDescent="0.25">
      <c r="A27" s="186" t="str">
        <f>"3420"</f>
        <v>3420</v>
      </c>
      <c r="B27" s="5" t="str">
        <f>"Intäkter Sponsorer"</f>
        <v>Intäkter Sponsorer</v>
      </c>
      <c r="C27" s="210">
        <v>40000</v>
      </c>
      <c r="D27" s="279">
        <v>40000</v>
      </c>
      <c r="E27" s="263">
        <v>40500</v>
      </c>
      <c r="F27" s="239">
        <f t="shared" si="2"/>
        <v>500</v>
      </c>
      <c r="G27" s="239"/>
      <c r="H27" s="290">
        <v>39000</v>
      </c>
      <c r="I27" s="188">
        <v>38500</v>
      </c>
      <c r="J27" s="188">
        <v>49385</v>
      </c>
      <c r="K27" s="188">
        <v>37000</v>
      </c>
      <c r="L27" s="165">
        <v>54000</v>
      </c>
      <c r="M27" s="153">
        <v>62570</v>
      </c>
      <c r="N27" s="125">
        <v>41400</v>
      </c>
      <c r="P27" s="4"/>
      <c r="Q27" s="4"/>
    </row>
    <row r="28" spans="1:17" x14ac:dyDescent="0.25">
      <c r="A28" s="186" t="str">
        <f>"3421"</f>
        <v>3421</v>
      </c>
      <c r="B28" s="5" t="s">
        <v>161</v>
      </c>
      <c r="C28" s="210">
        <v>30000</v>
      </c>
      <c r="D28" s="279">
        <v>30000</v>
      </c>
      <c r="E28" s="263">
        <v>30000</v>
      </c>
      <c r="F28" s="255">
        <f t="shared" si="2"/>
        <v>0</v>
      </c>
      <c r="G28" s="239"/>
      <c r="H28" s="290">
        <v>30000</v>
      </c>
      <c r="I28" s="188">
        <v>62500</v>
      </c>
      <c r="J28" s="188">
        <v>24000</v>
      </c>
      <c r="K28" s="188">
        <v>93000</v>
      </c>
      <c r="L28" s="165">
        <v>28000</v>
      </c>
      <c r="M28" s="153">
        <v>73000</v>
      </c>
      <c r="N28" s="125">
        <v>28000</v>
      </c>
    </row>
    <row r="29" spans="1:17" x14ac:dyDescent="0.25">
      <c r="A29" s="186" t="s">
        <v>18</v>
      </c>
      <c r="B29" s="5" t="s">
        <v>19</v>
      </c>
      <c r="C29" s="210">
        <v>0</v>
      </c>
      <c r="D29" s="279"/>
      <c r="E29" s="263">
        <v>0</v>
      </c>
      <c r="F29" s="255">
        <f t="shared" si="2"/>
        <v>0</v>
      </c>
      <c r="G29" s="239"/>
      <c r="H29" s="290">
        <v>51248</v>
      </c>
      <c r="I29" s="188">
        <v>35000</v>
      </c>
      <c r="J29" s="188">
        <v>29500</v>
      </c>
      <c r="K29" s="188">
        <v>27000</v>
      </c>
      <c r="L29" s="165">
        <v>28775.33</v>
      </c>
      <c r="M29" s="153">
        <v>26179</v>
      </c>
      <c r="N29" s="125">
        <v>50350</v>
      </c>
    </row>
    <row r="30" spans="1:17" x14ac:dyDescent="0.25">
      <c r="A30" s="186" t="str">
        <f>"3430"</f>
        <v>3430</v>
      </c>
      <c r="B30" s="5" t="str">
        <f>"Intäkter föräldrarföreningen"</f>
        <v>Intäkter föräldrarföreningen</v>
      </c>
      <c r="C30" s="210">
        <v>0</v>
      </c>
      <c r="D30" s="279">
        <v>15000</v>
      </c>
      <c r="E30" s="263">
        <v>0</v>
      </c>
      <c r="F30" s="239">
        <f t="shared" si="2"/>
        <v>-15000</v>
      </c>
      <c r="G30" s="239"/>
      <c r="H30" s="290">
        <v>30693</v>
      </c>
      <c r="I30" s="188"/>
      <c r="J30" s="188"/>
      <c r="K30" s="188"/>
      <c r="L30" s="165"/>
      <c r="M30" s="153"/>
      <c r="N30" s="127"/>
    </row>
    <row r="31" spans="1:17" x14ac:dyDescent="0.25">
      <c r="A31" s="186" t="str">
        <f>"3520"</f>
        <v>3520</v>
      </c>
      <c r="B31" s="5" t="str">
        <f>"Intäkter Kanotförsäkring"</f>
        <v>Intäkter Kanotförsäkring</v>
      </c>
      <c r="C31" s="210"/>
      <c r="D31" s="279"/>
      <c r="E31" s="263"/>
      <c r="F31" s="239">
        <f t="shared" ref="F31:F32" si="3">-(D31-E31)</f>
        <v>0</v>
      </c>
      <c r="G31" s="239"/>
      <c r="H31" s="290"/>
      <c r="I31" s="188"/>
      <c r="J31" s="188"/>
      <c r="K31" s="188">
        <v>430</v>
      </c>
      <c r="L31" s="165">
        <v>2100</v>
      </c>
      <c r="M31" s="153">
        <v>3458</v>
      </c>
      <c r="N31" s="127">
        <v>3830</v>
      </c>
    </row>
    <row r="32" spans="1:17" x14ac:dyDescent="0.25">
      <c r="A32" s="186" t="s">
        <v>95</v>
      </c>
      <c r="B32" s="5" t="s">
        <v>150</v>
      </c>
      <c r="C32" s="210">
        <v>5000</v>
      </c>
      <c r="D32" s="279">
        <v>15000</v>
      </c>
      <c r="E32" s="263">
        <v>4559</v>
      </c>
      <c r="F32" s="239">
        <f t="shared" si="3"/>
        <v>-10441</v>
      </c>
      <c r="G32" s="239"/>
      <c r="H32" s="290">
        <v>17369</v>
      </c>
      <c r="I32" s="188"/>
      <c r="J32" s="188"/>
      <c r="K32" s="188"/>
      <c r="L32" s="165"/>
      <c r="M32" s="153"/>
      <c r="N32" s="127"/>
    </row>
    <row r="33" spans="1:18" x14ac:dyDescent="0.25">
      <c r="A33" s="186" t="s">
        <v>133</v>
      </c>
      <c r="B33" s="5" t="s">
        <v>134</v>
      </c>
      <c r="C33" s="210"/>
      <c r="D33" s="279" t="s">
        <v>151</v>
      </c>
      <c r="E33" s="263"/>
      <c r="F33" s="239"/>
      <c r="G33" s="239"/>
      <c r="H33" s="290"/>
      <c r="I33" s="188"/>
      <c r="J33" s="188">
        <v>1200</v>
      </c>
      <c r="K33" s="188"/>
      <c r="L33" s="165"/>
      <c r="M33" s="153"/>
      <c r="N33" s="127"/>
    </row>
    <row r="34" spans="1:18" x14ac:dyDescent="0.25">
      <c r="A34" s="186" t="s">
        <v>20</v>
      </c>
      <c r="B34" s="5" t="s">
        <v>21</v>
      </c>
      <c r="C34" s="210"/>
      <c r="D34" s="279"/>
      <c r="E34" s="263"/>
      <c r="F34" s="239">
        <f>-(D34-E34)</f>
        <v>0</v>
      </c>
      <c r="G34" s="239"/>
      <c r="H34" s="290"/>
      <c r="I34" s="188"/>
      <c r="J34" s="188"/>
      <c r="K34" s="188"/>
      <c r="L34" s="165"/>
      <c r="M34" s="153">
        <v>61624</v>
      </c>
      <c r="N34" s="127"/>
    </row>
    <row r="35" spans="1:18" x14ac:dyDescent="0.25">
      <c r="A35" s="186" t="str">
        <f>"3710"</f>
        <v>3710</v>
      </c>
      <c r="B35" s="5" t="str">
        <f>"Kommunala bidrag"</f>
        <v>Kommunala bidrag</v>
      </c>
      <c r="C35" s="210">
        <v>95000</v>
      </c>
      <c r="D35" s="279">
        <v>75000</v>
      </c>
      <c r="E35" s="263">
        <v>93899</v>
      </c>
      <c r="F35" s="255">
        <f>-(D35-E35)</f>
        <v>18899</v>
      </c>
      <c r="G35" s="239"/>
      <c r="H35" s="290">
        <v>76399</v>
      </c>
      <c r="I35" s="188">
        <v>53067</v>
      </c>
      <c r="J35" s="188">
        <v>71801</v>
      </c>
      <c r="K35" s="188">
        <v>51130</v>
      </c>
      <c r="L35" s="165">
        <v>54852</v>
      </c>
      <c r="M35" s="153">
        <v>52860</v>
      </c>
      <c r="N35" s="127">
        <v>51090</v>
      </c>
    </row>
    <row r="36" spans="1:18" x14ac:dyDescent="0.25">
      <c r="A36" s="186" t="s">
        <v>162</v>
      </c>
      <c r="B36" s="5" t="s">
        <v>163</v>
      </c>
      <c r="C36" s="210"/>
      <c r="D36" s="279"/>
      <c r="E36" s="263">
        <v>82060</v>
      </c>
      <c r="F36" s="255">
        <f>-(D36-E36)</f>
        <v>82060</v>
      </c>
      <c r="G36" s="239"/>
      <c r="H36" s="290"/>
      <c r="I36" s="188"/>
      <c r="J36" s="188"/>
      <c r="K36" s="188"/>
      <c r="L36" s="165"/>
      <c r="M36" s="153"/>
      <c r="N36" s="127"/>
    </row>
    <row r="37" spans="1:18" x14ac:dyDescent="0.25">
      <c r="A37" s="186" t="str">
        <f>"3730"</f>
        <v>3730</v>
      </c>
      <c r="B37" s="5" t="str">
        <f>"LOK-stöd Riksidrottsförbundet"</f>
        <v>LOK-stöd Riksidrottsförbundet</v>
      </c>
      <c r="C37" s="210">
        <v>55000</v>
      </c>
      <c r="D37" s="279">
        <v>41000</v>
      </c>
      <c r="E37" s="263">
        <v>53929.18</v>
      </c>
      <c r="F37" s="255">
        <f>-(D37-E37)</f>
        <v>12929.18</v>
      </c>
      <c r="G37" s="239"/>
      <c r="H37" s="290">
        <v>40855.599999999999</v>
      </c>
      <c r="I37" s="188">
        <v>48410.75</v>
      </c>
      <c r="J37" s="188">
        <v>54186</v>
      </c>
      <c r="K37" s="188">
        <v>40408</v>
      </c>
      <c r="L37" s="165">
        <v>36836</v>
      </c>
      <c r="M37" s="153">
        <v>33824</v>
      </c>
      <c r="N37" s="127">
        <v>39430</v>
      </c>
    </row>
    <row r="38" spans="1:18" x14ac:dyDescent="0.25">
      <c r="A38" s="186" t="s">
        <v>135</v>
      </c>
      <c r="B38" s="5" t="s">
        <v>136</v>
      </c>
      <c r="C38" s="210">
        <v>10000</v>
      </c>
      <c r="D38" s="279">
        <v>30000</v>
      </c>
      <c r="E38" s="263">
        <v>0</v>
      </c>
      <c r="F38" s="255">
        <f>-(D38-E38)</f>
        <v>-30000</v>
      </c>
      <c r="G38" s="239"/>
      <c r="H38" s="290">
        <v>0</v>
      </c>
      <c r="I38" s="188"/>
      <c r="J38" s="188">
        <v>108000</v>
      </c>
      <c r="K38" s="188"/>
      <c r="L38" s="165"/>
      <c r="M38" s="153"/>
      <c r="N38" s="127"/>
    </row>
    <row r="39" spans="1:18" x14ac:dyDescent="0.25">
      <c r="A39" s="186" t="str">
        <f>"3790"</f>
        <v>3790</v>
      </c>
      <c r="B39" s="5" t="s">
        <v>24</v>
      </c>
      <c r="C39" s="210"/>
      <c r="D39" s="279"/>
      <c r="E39" s="263"/>
      <c r="F39" s="255">
        <f t="shared" ref="F39:F41" si="4">-(D39-E39)</f>
        <v>0</v>
      </c>
      <c r="G39" s="239"/>
      <c r="H39" s="290"/>
      <c r="I39" s="188"/>
      <c r="J39" s="188"/>
      <c r="K39" s="188"/>
      <c r="L39" s="165"/>
      <c r="M39" s="153"/>
      <c r="N39" s="127"/>
      <c r="R39" s="4"/>
    </row>
    <row r="40" spans="1:18" x14ac:dyDescent="0.25">
      <c r="A40" s="26"/>
      <c r="B40" s="6"/>
      <c r="C40" s="210"/>
      <c r="D40" s="279"/>
      <c r="E40" s="263"/>
      <c r="F40" s="255"/>
      <c r="G40" s="239"/>
      <c r="H40" s="290"/>
      <c r="I40" s="188"/>
      <c r="J40" s="188"/>
      <c r="K40" s="188"/>
      <c r="L40" s="165"/>
      <c r="M40" s="153"/>
      <c r="N40" s="127"/>
    </row>
    <row r="41" spans="1:18" s="1" customFormat="1" ht="15.75" thickBot="1" x14ac:dyDescent="0.3">
      <c r="A41" s="27" t="str">
        <f>"S:a Nettoomsättning"</f>
        <v>S:a Nettoomsättning</v>
      </c>
      <c r="B41" s="14"/>
      <c r="C41" s="209">
        <f>SUM(C8:C39)</f>
        <v>539000</v>
      </c>
      <c r="D41" s="281">
        <f>SUM(D8:D39)</f>
        <v>575300</v>
      </c>
      <c r="E41" s="265">
        <f>SUM(E8:E40)</f>
        <v>520343.26999999996</v>
      </c>
      <c r="F41" s="292">
        <f t="shared" si="4"/>
        <v>-54956.73000000004</v>
      </c>
      <c r="G41" s="240"/>
      <c r="H41" s="292">
        <f>SUM(H8:H40)</f>
        <v>645019.6</v>
      </c>
      <c r="I41" s="189">
        <f>SUM(I8:I40)</f>
        <v>493735.75</v>
      </c>
      <c r="J41" s="189">
        <f>SUM(J8:J40)</f>
        <v>571737.75</v>
      </c>
      <c r="K41" s="189">
        <f>SUM(K8:K40)</f>
        <v>473728</v>
      </c>
      <c r="L41" s="167">
        <f>SUM(L8:L39)</f>
        <v>422129.33</v>
      </c>
      <c r="M41" s="154">
        <f>SUM(M8:M39)</f>
        <v>549106</v>
      </c>
      <c r="N41" s="119">
        <f>SUM(N8:N39)</f>
        <v>411883.5</v>
      </c>
      <c r="R41" s="120"/>
    </row>
    <row r="42" spans="1:18" x14ac:dyDescent="0.25">
      <c r="A42" s="19"/>
      <c r="B42" s="20"/>
      <c r="C42" s="205"/>
      <c r="D42" s="282"/>
      <c r="E42" s="266"/>
      <c r="F42" s="241"/>
      <c r="G42" s="241"/>
      <c r="H42" s="293"/>
      <c r="I42" s="190"/>
      <c r="J42" s="190"/>
      <c r="K42" s="190"/>
      <c r="L42" s="168"/>
      <c r="M42" s="155"/>
      <c r="N42" s="128"/>
    </row>
    <row r="43" spans="1:18" x14ac:dyDescent="0.25">
      <c r="A43" s="22" t="str">
        <f>"Aktiverat arbete för egen räkning"</f>
        <v>Aktiverat arbete för egen räkning</v>
      </c>
      <c r="B43" s="6"/>
      <c r="C43" s="203"/>
      <c r="D43" s="278"/>
      <c r="E43" s="263"/>
      <c r="F43" s="239"/>
      <c r="G43" s="239"/>
      <c r="H43" s="290"/>
      <c r="I43" s="188"/>
      <c r="J43" s="188"/>
      <c r="K43" s="188"/>
      <c r="L43" s="6"/>
      <c r="M43" s="153"/>
      <c r="N43" s="129"/>
    </row>
    <row r="44" spans="1:18" x14ac:dyDescent="0.25">
      <c r="A44" s="186" t="str">
        <f>"3813"</f>
        <v>3813</v>
      </c>
      <c r="B44" s="5" t="s">
        <v>27</v>
      </c>
      <c r="C44" s="210">
        <v>0</v>
      </c>
      <c r="D44" s="279"/>
      <c r="E44" s="263">
        <v>0</v>
      </c>
      <c r="F44" s="239"/>
      <c r="G44" s="239"/>
      <c r="H44" s="290">
        <v>0</v>
      </c>
      <c r="I44" s="188">
        <v>0</v>
      </c>
      <c r="J44" s="188">
        <v>5500</v>
      </c>
      <c r="K44" s="188">
        <v>2000</v>
      </c>
      <c r="L44" s="153">
        <v>1000</v>
      </c>
      <c r="M44" s="153">
        <v>3350</v>
      </c>
      <c r="N44" s="127">
        <v>0</v>
      </c>
    </row>
    <row r="45" spans="1:18" x14ac:dyDescent="0.25">
      <c r="A45" s="187"/>
      <c r="B45" s="6"/>
      <c r="C45" s="210"/>
      <c r="D45" s="279"/>
      <c r="E45" s="263"/>
      <c r="F45" s="239"/>
      <c r="G45" s="239"/>
      <c r="H45" s="290"/>
      <c r="I45" s="188"/>
      <c r="J45" s="188"/>
      <c r="K45" s="188"/>
      <c r="L45" s="6"/>
      <c r="M45" s="153"/>
      <c r="N45" s="129"/>
    </row>
    <row r="46" spans="1:18" s="1" customFormat="1" ht="15.75" thickBot="1" x14ac:dyDescent="0.3">
      <c r="A46" s="27" t="str">
        <f>"S:a Aktiverat arbete för egen räkning"</f>
        <v>S:a Aktiverat arbete för egen räkning</v>
      </c>
      <c r="B46" s="14"/>
      <c r="C46" s="212">
        <v>0</v>
      </c>
      <c r="D46" s="283">
        <f>SUM(D43:D44)</f>
        <v>0</v>
      </c>
      <c r="E46" s="265">
        <f>SUM(E44:E45)</f>
        <v>0</v>
      </c>
      <c r="F46" s="240"/>
      <c r="G46" s="240"/>
      <c r="H46" s="292">
        <f>SUM(H44:H45)</f>
        <v>0</v>
      </c>
      <c r="I46" s="189">
        <f>SUM(I44:I45)</f>
        <v>0</v>
      </c>
      <c r="J46" s="189">
        <f>SUM(J44:J45)</f>
        <v>5500</v>
      </c>
      <c r="K46" s="189">
        <f>SUM(K44:K45)</f>
        <v>2000</v>
      </c>
      <c r="L46" s="109">
        <f>SUM(L44:L44)</f>
        <v>1000</v>
      </c>
      <c r="M46" s="109">
        <f>SUM(M44:M44)</f>
        <v>3350</v>
      </c>
      <c r="N46" s="119">
        <f>SUM(N44:N45)</f>
        <v>0</v>
      </c>
    </row>
    <row r="47" spans="1:18" x14ac:dyDescent="0.25">
      <c r="A47" s="19"/>
      <c r="B47" s="20"/>
      <c r="C47" s="205"/>
      <c r="D47" s="282"/>
      <c r="E47" s="266"/>
      <c r="F47" s="241"/>
      <c r="G47" s="241"/>
      <c r="H47" s="293"/>
      <c r="I47" s="190"/>
      <c r="J47" s="190"/>
      <c r="K47" s="190"/>
      <c r="L47" s="168"/>
      <c r="M47" s="155"/>
      <c r="N47" s="128"/>
    </row>
    <row r="48" spans="1:18" x14ac:dyDescent="0.25">
      <c r="A48" s="22" t="str">
        <f>"Övriga rörelseintäkter"</f>
        <v>Övriga rörelseintäkter</v>
      </c>
      <c r="B48" s="6"/>
      <c r="C48" s="203"/>
      <c r="D48" s="278"/>
      <c r="E48" s="263"/>
      <c r="F48" s="239"/>
      <c r="G48" s="239"/>
      <c r="H48" s="290"/>
      <c r="I48" s="188"/>
      <c r="J48" s="188"/>
      <c r="K48" s="188"/>
      <c r="L48" s="6"/>
      <c r="M48" s="153"/>
      <c r="N48" s="129"/>
    </row>
    <row r="49" spans="1:66" x14ac:dyDescent="0.25">
      <c r="A49" s="186" t="s">
        <v>137</v>
      </c>
      <c r="B49" s="6" t="s">
        <v>138</v>
      </c>
      <c r="C49" s="203">
        <v>0</v>
      </c>
      <c r="D49" s="278"/>
      <c r="E49" s="263">
        <v>0</v>
      </c>
      <c r="F49" s="239"/>
      <c r="G49" s="239"/>
      <c r="H49" s="290">
        <v>0</v>
      </c>
      <c r="I49" s="188">
        <v>22000</v>
      </c>
      <c r="J49" s="188"/>
      <c r="K49" s="188"/>
      <c r="L49" s="6"/>
      <c r="M49" s="153"/>
      <c r="N49" s="129"/>
    </row>
    <row r="50" spans="1:66" x14ac:dyDescent="0.25">
      <c r="A50" s="186" t="str">
        <f>"3990"</f>
        <v>3990</v>
      </c>
      <c r="B50" s="5" t="str">
        <f>"Övr ersättn och intäkter"</f>
        <v>Övr ersättn och intäkter</v>
      </c>
      <c r="C50" s="210">
        <v>0</v>
      </c>
      <c r="D50" s="279"/>
      <c r="E50" s="263">
        <v>0</v>
      </c>
      <c r="F50" s="239"/>
      <c r="G50" s="239"/>
      <c r="H50" s="290">
        <v>57992</v>
      </c>
      <c r="I50" s="188">
        <v>9363</v>
      </c>
      <c r="J50" s="188"/>
      <c r="K50" s="188"/>
      <c r="L50" s="169">
        <v>11103</v>
      </c>
      <c r="M50" s="153"/>
      <c r="N50" s="127"/>
    </row>
    <row r="51" spans="1:66" x14ac:dyDescent="0.25">
      <c r="A51" s="186" t="str">
        <f>"3992"</f>
        <v>3992</v>
      </c>
      <c r="B51" s="5" t="s">
        <v>28</v>
      </c>
      <c r="C51" s="210"/>
      <c r="D51" s="279"/>
      <c r="E51" s="263"/>
      <c r="F51" s="239"/>
      <c r="G51" s="239"/>
      <c r="H51" s="290"/>
      <c r="I51" s="188"/>
      <c r="J51" s="188"/>
      <c r="K51" s="188"/>
      <c r="L51" s="169"/>
      <c r="M51" s="153"/>
      <c r="N51" s="127"/>
    </row>
    <row r="52" spans="1:66" x14ac:dyDescent="0.25">
      <c r="A52" s="187">
        <v>3680</v>
      </c>
      <c r="B52" s="6" t="s">
        <v>29</v>
      </c>
      <c r="C52" s="210"/>
      <c r="D52" s="279"/>
      <c r="E52" s="263"/>
      <c r="F52" s="239"/>
      <c r="G52" s="239"/>
      <c r="H52" s="290"/>
      <c r="I52" s="188"/>
      <c r="J52" s="188"/>
      <c r="K52" s="188"/>
      <c r="L52" s="169"/>
      <c r="M52" s="153"/>
      <c r="N52" s="129"/>
    </row>
    <row r="53" spans="1:66" s="1" customFormat="1" ht="15.75" thickBot="1" x14ac:dyDescent="0.3">
      <c r="A53" s="27" t="str">
        <f>"S:a Övriga rörelseintäkter"</f>
        <v>S:a Övriga rörelseintäkter</v>
      </c>
      <c r="B53" s="14"/>
      <c r="C53" s="212">
        <v>0</v>
      </c>
      <c r="D53" s="283">
        <f>SUM(D50:D52)</f>
        <v>0</v>
      </c>
      <c r="E53" s="267">
        <f>SUM(E49:E52)</f>
        <v>0</v>
      </c>
      <c r="F53" s="240"/>
      <c r="G53" s="240"/>
      <c r="H53" s="170">
        <f>SUM(H49:H52)</f>
        <v>57992</v>
      </c>
      <c r="I53" s="170">
        <f>SUM(I49:I52)</f>
        <v>31363</v>
      </c>
      <c r="J53" s="170">
        <f>SUM(J50:J52)</f>
        <v>0</v>
      </c>
      <c r="K53" s="170">
        <f>SUM(K50:K52)</f>
        <v>0</v>
      </c>
      <c r="L53" s="170">
        <f>SUM(L50:L52)</f>
        <v>11103</v>
      </c>
      <c r="M53" s="109">
        <f>SUM(M50:M52)</f>
        <v>0</v>
      </c>
      <c r="N53" s="119">
        <f>SUM(N50:N52)</f>
        <v>0</v>
      </c>
    </row>
    <row r="54" spans="1:66" x14ac:dyDescent="0.25">
      <c r="A54" s="19"/>
      <c r="B54" s="20"/>
      <c r="C54" s="205"/>
      <c r="D54" s="282"/>
      <c r="E54" s="266"/>
      <c r="F54" s="241"/>
      <c r="G54" s="241"/>
      <c r="H54" s="293"/>
      <c r="I54" s="190"/>
      <c r="J54" s="190"/>
      <c r="K54" s="190"/>
      <c r="L54" s="168"/>
      <c r="M54" s="155"/>
      <c r="N54" s="128"/>
    </row>
    <row r="55" spans="1:66" x14ac:dyDescent="0.25">
      <c r="A55" s="26"/>
      <c r="B55" s="6"/>
      <c r="C55" s="203"/>
      <c r="D55" s="278"/>
      <c r="E55" s="263"/>
      <c r="F55" s="239"/>
      <c r="G55" s="239"/>
      <c r="H55" s="290"/>
      <c r="I55" s="188"/>
      <c r="J55" s="188"/>
      <c r="K55" s="188"/>
      <c r="L55" s="6"/>
      <c r="M55" s="153"/>
      <c r="N55" s="129"/>
    </row>
    <row r="56" spans="1:66" s="2" customFormat="1" ht="15.75" thickBot="1" x14ac:dyDescent="0.3">
      <c r="A56" s="32" t="str">
        <f>"S:a Rörelseintäkter och lagerförändring"</f>
        <v>S:a Rörelseintäkter och lagerförändring</v>
      </c>
      <c r="B56" s="33"/>
      <c r="C56" s="147">
        <f>SUM(C41+C46+C53)</f>
        <v>539000</v>
      </c>
      <c r="D56" s="147">
        <f>SUM(D41+D46+D53)</f>
        <v>575300</v>
      </c>
      <c r="E56" s="147">
        <f>E41+E46+E53</f>
        <v>520343.26999999996</v>
      </c>
      <c r="F56" s="242"/>
      <c r="G56" s="242"/>
      <c r="H56" s="163">
        <f>H41+H46+H53</f>
        <v>703011.6</v>
      </c>
      <c r="I56" s="163">
        <f t="shared" ref="I56:N56" si="5">I41+I46+I53</f>
        <v>525098.75</v>
      </c>
      <c r="J56" s="163">
        <f t="shared" si="5"/>
        <v>577237.75</v>
      </c>
      <c r="K56" s="163">
        <f t="shared" si="5"/>
        <v>475728</v>
      </c>
      <c r="L56" s="147">
        <f t="shared" si="5"/>
        <v>434232.33</v>
      </c>
      <c r="M56" s="112">
        <f t="shared" si="5"/>
        <v>552456</v>
      </c>
      <c r="N56" s="111">
        <f t="shared" si="5"/>
        <v>411883.5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x14ac:dyDescent="0.25">
      <c r="A57" s="19"/>
      <c r="B57" s="20"/>
      <c r="C57" s="205"/>
      <c r="D57" s="282"/>
      <c r="E57" s="266"/>
      <c r="F57" s="241"/>
      <c r="G57" s="241"/>
      <c r="H57" s="293"/>
      <c r="I57" s="190"/>
      <c r="J57" s="190"/>
      <c r="K57" s="190"/>
      <c r="L57" s="168"/>
      <c r="M57" s="155"/>
      <c r="N57" s="128"/>
    </row>
    <row r="58" spans="1:66" x14ac:dyDescent="0.25">
      <c r="A58" s="22" t="str">
        <f>"Rörelsens kostnader"</f>
        <v>Rörelsens kostnader</v>
      </c>
      <c r="B58" s="6"/>
      <c r="C58" s="203"/>
      <c r="D58" s="278"/>
      <c r="E58" s="263"/>
      <c r="F58" s="239"/>
      <c r="G58" s="239"/>
      <c r="H58" s="290"/>
      <c r="I58" s="188"/>
      <c r="J58" s="188"/>
      <c r="K58" s="188"/>
      <c r="L58" s="6"/>
      <c r="M58" s="153"/>
      <c r="N58" s="129"/>
    </row>
    <row r="59" spans="1:66" x14ac:dyDescent="0.25">
      <c r="A59" s="22" t="str">
        <f>"Råvaror och förnödenheter mm"</f>
        <v>Råvaror och förnödenheter mm</v>
      </c>
      <c r="B59" s="6"/>
      <c r="C59" s="203"/>
      <c r="D59" s="278"/>
      <c r="E59" s="263"/>
      <c r="F59" s="239"/>
      <c r="G59" s="239"/>
      <c r="H59" s="290"/>
      <c r="I59" s="188"/>
      <c r="J59" s="188"/>
      <c r="K59" s="188"/>
      <c r="L59" s="6"/>
      <c r="M59" s="153"/>
      <c r="N59" s="129"/>
    </row>
    <row r="60" spans="1:66" x14ac:dyDescent="0.25">
      <c r="A60" s="24" t="s">
        <v>139</v>
      </c>
      <c r="B60" s="5" t="s">
        <v>140</v>
      </c>
      <c r="C60" s="210">
        <v>0</v>
      </c>
      <c r="D60" s="279"/>
      <c r="E60" s="263">
        <v>0</v>
      </c>
      <c r="F60" s="239">
        <f t="shared" ref="F60:F69" si="6">-(D60-E60)</f>
        <v>0</v>
      </c>
      <c r="G60" s="239"/>
      <c r="H60" s="290">
        <v>0</v>
      </c>
      <c r="I60" s="188">
        <v>-902.8</v>
      </c>
      <c r="J60" s="188"/>
      <c r="K60" s="188"/>
      <c r="L60" s="171"/>
      <c r="M60" s="153"/>
      <c r="N60" s="127"/>
    </row>
    <row r="61" spans="1:66" x14ac:dyDescent="0.25">
      <c r="A61" s="24" t="str">
        <f>"4011"</f>
        <v>4011</v>
      </c>
      <c r="B61" s="5" t="str">
        <f>"Anmälningsavgifter"</f>
        <v>Anmälningsavgifter</v>
      </c>
      <c r="C61" s="210">
        <v>-60000</v>
      </c>
      <c r="D61" s="279">
        <v>-60000</v>
      </c>
      <c r="E61" s="263">
        <v>-21495</v>
      </c>
      <c r="F61" s="239">
        <f t="shared" si="6"/>
        <v>38505</v>
      </c>
      <c r="G61" s="239"/>
      <c r="H61" s="290">
        <v>-58541</v>
      </c>
      <c r="I61" s="188">
        <v>-47558</v>
      </c>
      <c r="J61" s="188">
        <v>-36647</v>
      </c>
      <c r="K61" s="188">
        <v>-32651</v>
      </c>
      <c r="L61" s="171">
        <v>-22460</v>
      </c>
      <c r="M61" s="153">
        <v>-38723</v>
      </c>
      <c r="N61" s="127">
        <v>-44933</v>
      </c>
    </row>
    <row r="62" spans="1:66" x14ac:dyDescent="0.25">
      <c r="A62" s="24" t="str">
        <f>"4012"</f>
        <v>4012</v>
      </c>
      <c r="B62" s="5" t="str">
        <f>"transportkostnader"</f>
        <v>transportkostnader</v>
      </c>
      <c r="C62" s="210">
        <v>-10000</v>
      </c>
      <c r="D62" s="279">
        <v>-20000</v>
      </c>
      <c r="E62" s="263">
        <v>-2978</v>
      </c>
      <c r="F62" s="255">
        <f t="shared" si="6"/>
        <v>17022</v>
      </c>
      <c r="G62" s="239"/>
      <c r="H62" s="290">
        <v>-2860.91</v>
      </c>
      <c r="I62" s="188">
        <v>-5802</v>
      </c>
      <c r="J62" s="188"/>
      <c r="K62" s="188">
        <v>-4867</v>
      </c>
      <c r="L62" s="171">
        <v>-3587.5</v>
      </c>
      <c r="M62" s="153">
        <v>-3897.5</v>
      </c>
      <c r="N62" s="127">
        <v>-10378</v>
      </c>
    </row>
    <row r="63" spans="1:66" x14ac:dyDescent="0.25">
      <c r="A63" s="24" t="str">
        <f>"4013"</f>
        <v>4013</v>
      </c>
      <c r="B63" s="5" t="str">
        <f>"Kost och logi under tävlingar"</f>
        <v>Kost och logi under tävlingar</v>
      </c>
      <c r="C63" s="210">
        <v>-30000</v>
      </c>
      <c r="D63" s="279">
        <v>-45000</v>
      </c>
      <c r="E63" s="263">
        <v>-7400</v>
      </c>
      <c r="F63" s="239">
        <f t="shared" si="6"/>
        <v>37600</v>
      </c>
      <c r="G63" s="239"/>
      <c r="H63" s="290">
        <v>-39765.21</v>
      </c>
      <c r="I63" s="188">
        <v>-48567.06</v>
      </c>
      <c r="J63" s="188">
        <v>-14830</v>
      </c>
      <c r="K63" s="188">
        <v>-11800</v>
      </c>
      <c r="L63" s="171">
        <v>-5360</v>
      </c>
      <c r="M63" s="153">
        <v>-12490</v>
      </c>
      <c r="N63" s="127">
        <v>-3540</v>
      </c>
    </row>
    <row r="64" spans="1:66" x14ac:dyDescent="0.25">
      <c r="A64" s="24" t="str">
        <f>"4014"</f>
        <v>4014</v>
      </c>
      <c r="B64" s="5" t="str">
        <f>"Övriga tävlingskostnader"</f>
        <v>Övriga tävlingskostnader</v>
      </c>
      <c r="C64" s="210">
        <v>-1000</v>
      </c>
      <c r="D64" s="279"/>
      <c r="E64" s="263">
        <v>-649</v>
      </c>
      <c r="F64" s="239">
        <f t="shared" si="6"/>
        <v>-649</v>
      </c>
      <c r="G64" s="239"/>
      <c r="H64" s="290"/>
      <c r="I64" s="188"/>
      <c r="J64" s="188"/>
      <c r="K64" s="188">
        <v>-3114</v>
      </c>
      <c r="L64" s="171"/>
      <c r="M64" s="153"/>
      <c r="N64" s="127"/>
    </row>
    <row r="65" spans="1:19" x14ac:dyDescent="0.25">
      <c r="A65" s="24" t="str">
        <f>"4020"</f>
        <v>4020</v>
      </c>
      <c r="B65" s="5" t="s">
        <v>152</v>
      </c>
      <c r="C65" s="210">
        <v>-5000</v>
      </c>
      <c r="D65" s="279">
        <v>-10000</v>
      </c>
      <c r="E65" s="263">
        <v>0</v>
      </c>
      <c r="F65" s="255">
        <f t="shared" si="6"/>
        <v>10000</v>
      </c>
      <c r="G65" s="239"/>
      <c r="H65" s="290">
        <v>-19782.400000000001</v>
      </c>
      <c r="I65" s="188">
        <v>-1010</v>
      </c>
      <c r="J65" s="188">
        <v>-8635</v>
      </c>
      <c r="K65" s="188">
        <v>-8784</v>
      </c>
      <c r="L65" s="171">
        <v>-2060</v>
      </c>
      <c r="M65" s="153">
        <v>-1526</v>
      </c>
      <c r="N65" s="127">
        <v>-4627</v>
      </c>
    </row>
    <row r="66" spans="1:19" x14ac:dyDescent="0.25">
      <c r="A66" s="24" t="str">
        <f>"4021"</f>
        <v>4021</v>
      </c>
      <c r="B66" s="5" t="str">
        <f>"Anmälningsavgifter, Läger"</f>
        <v>Anmälningsavgifter, Läger</v>
      </c>
      <c r="C66" s="210"/>
      <c r="D66" s="279"/>
      <c r="E66" s="263"/>
      <c r="F66" s="239">
        <f t="shared" si="6"/>
        <v>0</v>
      </c>
      <c r="G66" s="239"/>
      <c r="H66" s="290"/>
      <c r="I66" s="188"/>
      <c r="J66" s="188"/>
      <c r="K66" s="188"/>
      <c r="L66" s="171"/>
      <c r="M66" s="153"/>
      <c r="N66" s="127"/>
    </row>
    <row r="67" spans="1:19" x14ac:dyDescent="0.25">
      <c r="A67" s="24" t="str">
        <f>"4022"</f>
        <v>4022</v>
      </c>
      <c r="B67" s="5" t="str">
        <f>"Transportkostnader, Läger"</f>
        <v>Transportkostnader, Läger</v>
      </c>
      <c r="C67" s="210"/>
      <c r="D67" s="279"/>
      <c r="E67" s="263"/>
      <c r="F67" s="239">
        <f t="shared" si="6"/>
        <v>0</v>
      </c>
      <c r="G67" s="239"/>
      <c r="H67" s="290"/>
      <c r="I67" s="188"/>
      <c r="J67" s="188"/>
      <c r="K67" s="188"/>
      <c r="L67" s="171"/>
      <c r="M67" s="153"/>
      <c r="N67" s="127"/>
    </row>
    <row r="68" spans="1:19" x14ac:dyDescent="0.25">
      <c r="A68" s="24" t="s">
        <v>30</v>
      </c>
      <c r="B68" s="5" t="s">
        <v>125</v>
      </c>
      <c r="C68" s="210">
        <v>0</v>
      </c>
      <c r="D68" s="279"/>
      <c r="E68" s="263">
        <v>0</v>
      </c>
      <c r="F68" s="239">
        <f t="shared" si="6"/>
        <v>0</v>
      </c>
      <c r="G68" s="239"/>
      <c r="H68" s="290">
        <v>0</v>
      </c>
      <c r="I68" s="188">
        <v>-35531</v>
      </c>
      <c r="J68" s="188">
        <v>-40685</v>
      </c>
      <c r="K68" s="188"/>
      <c r="L68" s="171">
        <v>-1700</v>
      </c>
      <c r="M68" s="153"/>
      <c r="N68" s="127"/>
    </row>
    <row r="69" spans="1:19" x14ac:dyDescent="0.25">
      <c r="A69" s="24" t="str">
        <f>"4024"</f>
        <v>4024</v>
      </c>
      <c r="B69" s="5" t="str">
        <f>"SM läger"</f>
        <v>SM läger</v>
      </c>
      <c r="C69" s="210">
        <v>-15000</v>
      </c>
      <c r="D69" s="279">
        <v>-15000</v>
      </c>
      <c r="E69" s="263">
        <v>0</v>
      </c>
      <c r="F69" s="239">
        <f t="shared" si="6"/>
        <v>15000</v>
      </c>
      <c r="G69" s="239"/>
      <c r="H69" s="290">
        <v>-72670.100000000006</v>
      </c>
      <c r="I69" s="188">
        <v>-45362.8</v>
      </c>
      <c r="J69" s="188">
        <v>-57295</v>
      </c>
      <c r="K69" s="188">
        <v>-43666</v>
      </c>
      <c r="L69" s="171">
        <v>-33695</v>
      </c>
      <c r="M69" s="153">
        <v>-16960</v>
      </c>
      <c r="N69" s="127">
        <v>-22174</v>
      </c>
    </row>
    <row r="70" spans="1:19" x14ac:dyDescent="0.25">
      <c r="A70" s="24" t="s">
        <v>153</v>
      </c>
      <c r="B70" s="5" t="s">
        <v>154</v>
      </c>
      <c r="C70" s="210">
        <v>-10000</v>
      </c>
      <c r="D70" s="279">
        <v>-10000</v>
      </c>
      <c r="E70" s="263">
        <v>-2490</v>
      </c>
      <c r="F70" s="239"/>
      <c r="G70" s="239"/>
      <c r="H70" s="290">
        <v>-9939.5300000000007</v>
      </c>
      <c r="I70" s="188"/>
      <c r="J70" s="188"/>
      <c r="K70" s="188"/>
      <c r="L70" s="171"/>
      <c r="M70" s="153"/>
      <c r="N70" s="127"/>
    </row>
    <row r="71" spans="1:19" ht="15" customHeight="1" x14ac:dyDescent="0.25">
      <c r="A71" s="24" t="s">
        <v>32</v>
      </c>
      <c r="B71" s="5" t="s">
        <v>164</v>
      </c>
      <c r="C71" s="210">
        <v>-100000</v>
      </c>
      <c r="D71" s="279">
        <v>-170000</v>
      </c>
      <c r="E71" s="263">
        <v>-23624</v>
      </c>
      <c r="F71" s="239">
        <f t="shared" ref="F71:F85" si="7">-(D71-E71)</f>
        <v>146376</v>
      </c>
      <c r="G71" s="239"/>
      <c r="H71" s="290">
        <v>-169881.18</v>
      </c>
      <c r="I71" s="188">
        <v>-66249.5</v>
      </c>
      <c r="J71" s="188">
        <v>-37771</v>
      </c>
      <c r="K71" s="188">
        <v>-35043</v>
      </c>
      <c r="L71" s="171">
        <v>-51908</v>
      </c>
      <c r="M71" s="153">
        <v>-68237</v>
      </c>
      <c r="N71" s="127">
        <v>-44493</v>
      </c>
    </row>
    <row r="72" spans="1:19" ht="15" customHeight="1" x14ac:dyDescent="0.25">
      <c r="A72" s="24" t="s">
        <v>165</v>
      </c>
      <c r="B72" s="5" t="s">
        <v>166</v>
      </c>
      <c r="C72" s="210">
        <v>-30000</v>
      </c>
      <c r="D72" s="279"/>
      <c r="E72" s="263">
        <v>-25399</v>
      </c>
      <c r="F72" s="239">
        <f t="shared" si="7"/>
        <v>-25399</v>
      </c>
      <c r="G72" s="239"/>
      <c r="H72" s="290"/>
      <c r="I72" s="188"/>
      <c r="J72" s="188"/>
      <c r="K72" s="188"/>
      <c r="L72" s="171"/>
      <c r="M72" s="153"/>
      <c r="N72" s="127"/>
    </row>
    <row r="73" spans="1:19" x14ac:dyDescent="0.25">
      <c r="A73" s="24" t="str">
        <f>"4110"</f>
        <v>4110</v>
      </c>
      <c r="B73" s="5" t="str">
        <f>"Kostnader Kanotskolan"</f>
        <v>Kostnader Kanotskolan</v>
      </c>
      <c r="C73" s="210">
        <v>-10000</v>
      </c>
      <c r="D73" s="279">
        <v>-10000</v>
      </c>
      <c r="E73" s="263">
        <v>-8149.49</v>
      </c>
      <c r="F73" s="255">
        <f t="shared" si="7"/>
        <v>1850.5100000000002</v>
      </c>
      <c r="G73" s="239"/>
      <c r="H73" s="290">
        <v>-9331.7900000000009</v>
      </c>
      <c r="I73" s="188">
        <v>-11894</v>
      </c>
      <c r="J73" s="188">
        <v>-20019</v>
      </c>
      <c r="K73" s="188">
        <v>-12819.4</v>
      </c>
      <c r="L73" s="171">
        <v>-14874</v>
      </c>
      <c r="M73" s="153">
        <v>-18212</v>
      </c>
      <c r="N73" s="127">
        <v>-8052</v>
      </c>
    </row>
    <row r="74" spans="1:19" x14ac:dyDescent="0.25">
      <c r="A74" s="24" t="s">
        <v>34</v>
      </c>
      <c r="B74" s="5" t="s">
        <v>141</v>
      </c>
      <c r="C74" s="210">
        <v>0</v>
      </c>
      <c r="D74" s="279">
        <v>-2500</v>
      </c>
      <c r="E74" s="263">
        <v>0</v>
      </c>
      <c r="F74" s="255">
        <f t="shared" si="7"/>
        <v>2500</v>
      </c>
      <c r="G74" s="239"/>
      <c r="H74" s="290">
        <v>0</v>
      </c>
      <c r="I74" s="188">
        <v>0</v>
      </c>
      <c r="J74" s="188">
        <v>-2800</v>
      </c>
      <c r="K74" s="188">
        <v>-3200</v>
      </c>
      <c r="L74" s="171">
        <v>-4100</v>
      </c>
      <c r="M74" s="153">
        <v>-10300</v>
      </c>
      <c r="N74" s="127">
        <v>-3600</v>
      </c>
    </row>
    <row r="75" spans="1:19" x14ac:dyDescent="0.25">
      <c r="A75" s="24" t="str">
        <f>"4120"</f>
        <v>4120</v>
      </c>
      <c r="B75" s="5" t="str">
        <f>"Kostnad ungdomsverksamhet"</f>
        <v>Kostnad ungdomsverksamhet</v>
      </c>
      <c r="C75" s="210">
        <v>-25000</v>
      </c>
      <c r="D75" s="279">
        <v>-25000</v>
      </c>
      <c r="E75" s="263">
        <v>-20147.099999999999</v>
      </c>
      <c r="F75" s="255">
        <f t="shared" si="7"/>
        <v>4852.9000000000015</v>
      </c>
      <c r="G75" s="239"/>
      <c r="H75" s="290">
        <v>-26262.38</v>
      </c>
      <c r="I75" s="188">
        <v>-14082</v>
      </c>
      <c r="J75" s="188">
        <v>-32802</v>
      </c>
      <c r="K75" s="188">
        <v>-20082.7</v>
      </c>
      <c r="L75" s="171">
        <v>-15443</v>
      </c>
      <c r="M75" s="153">
        <v>-10865</v>
      </c>
      <c r="N75" s="127">
        <v>-6599</v>
      </c>
    </row>
    <row r="76" spans="1:19" x14ac:dyDescent="0.25">
      <c r="A76" s="24" t="s">
        <v>142</v>
      </c>
      <c r="B76" s="5" t="s">
        <v>37</v>
      </c>
      <c r="C76" s="210">
        <v>-15000</v>
      </c>
      <c r="D76" s="279">
        <v>0</v>
      </c>
      <c r="E76" s="263">
        <v>-10650</v>
      </c>
      <c r="F76" s="239">
        <f t="shared" si="7"/>
        <v>-10650</v>
      </c>
      <c r="G76" s="239"/>
      <c r="H76" s="290">
        <v>0</v>
      </c>
      <c r="I76" s="188">
        <v>-14500</v>
      </c>
      <c r="J76" s="188">
        <v>-18859</v>
      </c>
      <c r="K76" s="188">
        <v>-10144</v>
      </c>
      <c r="L76" s="171"/>
      <c r="M76" s="153"/>
      <c r="N76" s="127"/>
    </row>
    <row r="77" spans="1:19" x14ac:dyDescent="0.25">
      <c r="A77" s="24" t="s">
        <v>143</v>
      </c>
      <c r="B77" s="5" t="s">
        <v>144</v>
      </c>
      <c r="C77" s="210">
        <v>0</v>
      </c>
      <c r="D77" s="279">
        <v>-15000</v>
      </c>
      <c r="E77" s="263">
        <v>0</v>
      </c>
      <c r="F77" s="239">
        <f t="shared" si="7"/>
        <v>15000</v>
      </c>
      <c r="G77" s="239"/>
      <c r="H77" s="290">
        <v>-34934.9</v>
      </c>
      <c r="I77" s="188">
        <v>-8635</v>
      </c>
      <c r="J77" s="188"/>
      <c r="K77" s="188"/>
      <c r="L77" s="171"/>
      <c r="M77" s="153"/>
      <c r="N77" s="127"/>
    </row>
    <row r="78" spans="1:19" x14ac:dyDescent="0.25">
      <c r="A78" s="24" t="s">
        <v>167</v>
      </c>
      <c r="B78" s="5" t="s">
        <v>168</v>
      </c>
      <c r="C78" s="210">
        <v>-9650</v>
      </c>
      <c r="D78" s="279"/>
      <c r="E78" s="263">
        <v>-9650</v>
      </c>
      <c r="F78" s="239">
        <f t="shared" si="7"/>
        <v>-9650</v>
      </c>
      <c r="G78" s="239"/>
      <c r="H78" s="290"/>
      <c r="I78" s="188"/>
      <c r="J78" s="188"/>
      <c r="K78" s="188"/>
      <c r="L78" s="171"/>
      <c r="M78" s="153"/>
      <c r="N78" s="127"/>
    </row>
    <row r="79" spans="1:19" x14ac:dyDescent="0.25">
      <c r="A79" s="24" t="s">
        <v>145</v>
      </c>
      <c r="B79" s="5" t="s">
        <v>146</v>
      </c>
      <c r="C79" s="210">
        <v>-18000</v>
      </c>
      <c r="D79" s="279">
        <v>-15000</v>
      </c>
      <c r="E79" s="263">
        <v>-18000</v>
      </c>
      <c r="F79" s="239">
        <f t="shared" si="7"/>
        <v>-3000</v>
      </c>
      <c r="G79" s="239"/>
      <c r="H79" s="290">
        <v>-14495</v>
      </c>
      <c r="I79" s="188">
        <v>-14495</v>
      </c>
      <c r="J79" s="188"/>
      <c r="K79" s="188"/>
      <c r="L79" s="171"/>
      <c r="M79" s="153"/>
      <c r="N79" s="127"/>
    </row>
    <row r="80" spans="1:19" x14ac:dyDescent="0.25">
      <c r="A80" s="24" t="str">
        <f>"4220"</f>
        <v>4220</v>
      </c>
      <c r="B80" s="5" t="s">
        <v>38</v>
      </c>
      <c r="C80" s="210">
        <v>-43663</v>
      </c>
      <c r="D80" s="279"/>
      <c r="E80" s="263">
        <v>-43663</v>
      </c>
      <c r="F80" s="255">
        <f t="shared" si="7"/>
        <v>-43663</v>
      </c>
      <c r="G80" s="239"/>
      <c r="H80" s="290">
        <v>-52093</v>
      </c>
      <c r="I80" s="188">
        <v>-114563</v>
      </c>
      <c r="J80" s="188">
        <v>-25146</v>
      </c>
      <c r="K80" s="188">
        <v>-155862.54999999999</v>
      </c>
      <c r="L80" s="171">
        <v>-117887.33</v>
      </c>
      <c r="M80" s="153">
        <v>-72611.98</v>
      </c>
      <c r="N80" s="127">
        <v>-83127</v>
      </c>
      <c r="O80" s="161"/>
      <c r="P80" s="162"/>
      <c r="Q80" s="162"/>
      <c r="R80" s="162"/>
      <c r="S80" s="4"/>
    </row>
    <row r="81" spans="1:14" x14ac:dyDescent="0.25">
      <c r="A81" s="24" t="s">
        <v>39</v>
      </c>
      <c r="B81" s="5" t="s">
        <v>40</v>
      </c>
      <c r="C81" s="210"/>
      <c r="D81" s="279">
        <v>0</v>
      </c>
      <c r="E81" s="263"/>
      <c r="F81" s="239">
        <f t="shared" si="7"/>
        <v>0</v>
      </c>
      <c r="G81" s="239"/>
      <c r="H81" s="290"/>
      <c r="I81" s="188"/>
      <c r="J81" s="188">
        <v>-7600</v>
      </c>
      <c r="K81" s="188"/>
      <c r="L81" s="171">
        <v>-2000</v>
      </c>
      <c r="M81" s="153">
        <v>-16508</v>
      </c>
      <c r="N81" s="127">
        <v>-21032</v>
      </c>
    </row>
    <row r="82" spans="1:14" x14ac:dyDescent="0.25">
      <c r="A82" s="24" t="s">
        <v>41</v>
      </c>
      <c r="B82" s="5" t="s">
        <v>42</v>
      </c>
      <c r="C82" s="210"/>
      <c r="D82" s="279"/>
      <c r="E82" s="263"/>
      <c r="F82" s="239">
        <f t="shared" si="7"/>
        <v>0</v>
      </c>
      <c r="G82" s="239"/>
      <c r="H82" s="290"/>
      <c r="I82" s="188"/>
      <c r="J82" s="188"/>
      <c r="K82" s="188"/>
      <c r="L82" s="171"/>
      <c r="M82" s="153">
        <v>-11300</v>
      </c>
      <c r="N82" s="127"/>
    </row>
    <row r="83" spans="1:14" x14ac:dyDescent="0.25">
      <c r="A83" s="24" t="str">
        <f>"4610"</f>
        <v>4610</v>
      </c>
      <c r="B83" s="5" t="str">
        <f>"Mötesverksamhet"</f>
        <v>Mötesverksamhet</v>
      </c>
      <c r="C83" s="210">
        <v>-2000</v>
      </c>
      <c r="D83" s="279">
        <v>-3000</v>
      </c>
      <c r="E83" s="263">
        <v>-263.37</v>
      </c>
      <c r="F83" s="239">
        <f t="shared" si="7"/>
        <v>2736.63</v>
      </c>
      <c r="G83" s="239"/>
      <c r="H83" s="290">
        <v>-2832</v>
      </c>
      <c r="I83" s="188">
        <v>-7165.2</v>
      </c>
      <c r="J83" s="188">
        <v>-1182.45</v>
      </c>
      <c r="K83" s="188">
        <v>-4700</v>
      </c>
      <c r="L83" s="171">
        <v>-8029</v>
      </c>
      <c r="M83" s="153">
        <v>-663</v>
      </c>
      <c r="N83" s="127">
        <v>-223</v>
      </c>
    </row>
    <row r="84" spans="1:14" x14ac:dyDescent="0.25">
      <c r="A84" s="24" t="s">
        <v>43</v>
      </c>
      <c r="B84" s="5" t="s">
        <v>44</v>
      </c>
      <c r="C84" s="210"/>
      <c r="D84" s="279">
        <v>0</v>
      </c>
      <c r="E84" s="263"/>
      <c r="F84" s="239">
        <f t="shared" si="7"/>
        <v>0</v>
      </c>
      <c r="G84" s="239"/>
      <c r="H84" s="290"/>
      <c r="I84" s="188"/>
      <c r="J84" s="188"/>
      <c r="K84" s="188"/>
      <c r="L84" s="171"/>
      <c r="M84" s="153"/>
      <c r="N84" s="127"/>
    </row>
    <row r="85" spans="1:14" x14ac:dyDescent="0.25">
      <c r="A85" s="24" t="str">
        <f>"4710"</f>
        <v>4710</v>
      </c>
      <c r="B85" s="5" t="str">
        <f>"Märken och priser"</f>
        <v>Märken och priser</v>
      </c>
      <c r="C85" s="210">
        <v>0</v>
      </c>
      <c r="D85" s="279">
        <v>-1500</v>
      </c>
      <c r="E85" s="263">
        <v>0</v>
      </c>
      <c r="F85" s="239">
        <f t="shared" si="7"/>
        <v>1500</v>
      </c>
      <c r="G85" s="239"/>
      <c r="H85" s="290">
        <v>-1268.8</v>
      </c>
      <c r="I85" s="188">
        <v>-6469</v>
      </c>
      <c r="J85" s="188">
        <v>-4401</v>
      </c>
      <c r="K85" s="188">
        <v>-4127</v>
      </c>
      <c r="L85" s="171">
        <v>-3630</v>
      </c>
      <c r="M85" s="153">
        <v>-3710</v>
      </c>
      <c r="N85" s="127">
        <v>-6310</v>
      </c>
    </row>
    <row r="86" spans="1:14" x14ac:dyDescent="0.25">
      <c r="A86" s="24" t="str">
        <f>"4800"</f>
        <v>4800</v>
      </c>
      <c r="B86" s="5" t="str">
        <f>"Medlemmarnas pengar"</f>
        <v>Medlemmarnas pengar</v>
      </c>
      <c r="C86" s="210"/>
      <c r="D86" s="279"/>
      <c r="E86" s="263"/>
      <c r="F86" s="239"/>
      <c r="G86" s="239"/>
      <c r="H86" s="290"/>
      <c r="I86" s="188"/>
      <c r="J86" s="188"/>
      <c r="K86" s="188"/>
      <c r="L86" s="171"/>
      <c r="M86" s="153"/>
      <c r="N86" s="127"/>
    </row>
    <row r="87" spans="1:14" x14ac:dyDescent="0.25">
      <c r="A87" s="26"/>
      <c r="B87" s="6"/>
      <c r="C87" s="210"/>
      <c r="D87" s="279"/>
      <c r="E87" s="263"/>
      <c r="F87" s="239"/>
      <c r="G87" s="239"/>
      <c r="H87" s="290"/>
      <c r="I87" s="188"/>
      <c r="J87" s="188"/>
      <c r="K87" s="188"/>
      <c r="L87" s="6"/>
      <c r="M87" s="153"/>
      <c r="N87" s="129"/>
    </row>
    <row r="88" spans="1:14" s="1" customFormat="1" ht="15.75" thickBot="1" x14ac:dyDescent="0.3">
      <c r="A88" s="27" t="str">
        <f>"S:a Råvaror och förnödenheter mm"</f>
        <v>S:a Råvaror och förnödenheter mm</v>
      </c>
      <c r="B88" s="14"/>
      <c r="C88" s="212">
        <f>SUM(C61:C86)</f>
        <v>-384313</v>
      </c>
      <c r="D88" s="283">
        <f>SUM(D61:D86)</f>
        <v>-402000</v>
      </c>
      <c r="E88" s="265">
        <f>SUM(E60:E86)</f>
        <v>-194557.96</v>
      </c>
      <c r="F88" s="240"/>
      <c r="G88" s="240"/>
      <c r="H88" s="292">
        <f>SUM(H60:H86)</f>
        <v>-514658.19999999995</v>
      </c>
      <c r="I88" s="189">
        <f t="shared" ref="I88:N88" si="8">SUM(I60:I86)</f>
        <v>-442786.36</v>
      </c>
      <c r="J88" s="189">
        <f t="shared" si="8"/>
        <v>-308672.45</v>
      </c>
      <c r="K88" s="189">
        <f t="shared" si="8"/>
        <v>-350860.65</v>
      </c>
      <c r="L88" s="170">
        <f t="shared" si="8"/>
        <v>-286733.83</v>
      </c>
      <c r="M88" s="109">
        <f t="shared" si="8"/>
        <v>-286003.48</v>
      </c>
      <c r="N88" s="119">
        <f t="shared" si="8"/>
        <v>-259088</v>
      </c>
    </row>
    <row r="89" spans="1:14" x14ac:dyDescent="0.25">
      <c r="A89" s="19"/>
      <c r="B89" s="20"/>
      <c r="C89" s="205"/>
      <c r="D89" s="282"/>
      <c r="E89" s="266"/>
      <c r="F89" s="241"/>
      <c r="G89" s="241"/>
      <c r="H89" s="293"/>
      <c r="I89" s="190"/>
      <c r="J89" s="190"/>
      <c r="K89" s="190"/>
      <c r="L89" s="168"/>
      <c r="M89" s="155"/>
      <c r="N89" s="128"/>
    </row>
    <row r="90" spans="1:14" x14ac:dyDescent="0.25">
      <c r="A90" s="26"/>
      <c r="B90" s="6"/>
      <c r="C90" s="203"/>
      <c r="D90" s="278"/>
      <c r="E90" s="263"/>
      <c r="F90" s="239"/>
      <c r="G90" s="239"/>
      <c r="H90" s="290"/>
      <c r="I90" s="188"/>
      <c r="J90" s="188"/>
      <c r="K90" s="188"/>
      <c r="L90" s="6"/>
      <c r="M90" s="153"/>
      <c r="N90" s="129"/>
    </row>
    <row r="91" spans="1:14" s="1" customFormat="1" ht="15.75" thickBot="1" x14ac:dyDescent="0.3">
      <c r="A91" s="27" t="str">
        <f>"Bruttovinst"</f>
        <v>Bruttovinst</v>
      </c>
      <c r="B91" s="14"/>
      <c r="C91" s="212">
        <f>C56+C88</f>
        <v>154687</v>
      </c>
      <c r="D91" s="283">
        <f>D56+D88</f>
        <v>173300</v>
      </c>
      <c r="E91" s="265">
        <f>E56+E88</f>
        <v>325785.30999999994</v>
      </c>
      <c r="F91" s="240"/>
      <c r="G91" s="240"/>
      <c r="H91" s="292">
        <f>H56+H88</f>
        <v>188353.40000000002</v>
      </c>
      <c r="I91" s="189">
        <f t="shared" ref="I91:N91" si="9">I56+I88</f>
        <v>82312.390000000014</v>
      </c>
      <c r="J91" s="189">
        <f t="shared" si="9"/>
        <v>268565.3</v>
      </c>
      <c r="K91" s="189">
        <f t="shared" si="9"/>
        <v>124867.34999999998</v>
      </c>
      <c r="L91" s="167">
        <f t="shared" si="9"/>
        <v>147498.5</v>
      </c>
      <c r="M91" s="154">
        <f t="shared" si="9"/>
        <v>266452.52</v>
      </c>
      <c r="N91" s="119">
        <f t="shared" si="9"/>
        <v>152795.5</v>
      </c>
    </row>
    <row r="92" spans="1:14" x14ac:dyDescent="0.25">
      <c r="A92" s="19"/>
      <c r="B92" s="20"/>
      <c r="C92" s="205"/>
      <c r="D92" s="282"/>
      <c r="E92" s="266"/>
      <c r="F92" s="241"/>
      <c r="G92" s="241"/>
      <c r="H92" s="293"/>
      <c r="I92" s="190"/>
      <c r="J92" s="190"/>
      <c r="K92" s="190"/>
      <c r="L92" s="168"/>
      <c r="M92" s="155"/>
      <c r="N92" s="128"/>
    </row>
    <row r="93" spans="1:14" x14ac:dyDescent="0.25">
      <c r="A93" s="22" t="str">
        <f>"Övriga externa kostnader"</f>
        <v>Övriga externa kostnader</v>
      </c>
      <c r="B93" s="6"/>
      <c r="C93" s="203"/>
      <c r="D93" s="278"/>
      <c r="E93" s="263"/>
      <c r="F93" s="239"/>
      <c r="G93" s="239"/>
      <c r="H93" s="290"/>
      <c r="I93" s="188"/>
      <c r="J93" s="188"/>
      <c r="K93" s="188"/>
      <c r="L93" s="6"/>
      <c r="M93" s="153"/>
      <c r="N93" s="129"/>
    </row>
    <row r="94" spans="1:14" x14ac:dyDescent="0.25">
      <c r="A94" s="22"/>
      <c r="B94" s="192"/>
      <c r="C94" s="249"/>
      <c r="D94" s="285"/>
      <c r="E94" s="268"/>
      <c r="F94" s="252"/>
      <c r="G94" s="252"/>
      <c r="H94" s="294"/>
      <c r="I94" s="251"/>
      <c r="J94" s="251"/>
      <c r="K94" s="251"/>
      <c r="L94" s="192"/>
      <c r="M94" s="253"/>
      <c r="N94" s="254"/>
    </row>
    <row r="95" spans="1:14" x14ac:dyDescent="0.25">
      <c r="A95" s="24" t="s">
        <v>147</v>
      </c>
      <c r="B95" s="5" t="s">
        <v>148</v>
      </c>
      <c r="C95" s="210">
        <v>-4500</v>
      </c>
      <c r="D95" s="279"/>
      <c r="E95" s="263">
        <v>-4140</v>
      </c>
      <c r="F95" s="239">
        <f t="shared" ref="F95:F115" si="10">-(D95-E95)</f>
        <v>-4140</v>
      </c>
      <c r="G95" s="239"/>
      <c r="H95" s="290"/>
      <c r="I95" s="188"/>
      <c r="J95" s="188">
        <v>-7077</v>
      </c>
      <c r="K95" s="188"/>
      <c r="L95" s="171"/>
      <c r="M95" s="153"/>
      <c r="N95" s="127"/>
    </row>
    <row r="96" spans="1:14" x14ac:dyDescent="0.25">
      <c r="A96" s="24" t="str">
        <f>"5110"</f>
        <v>5110</v>
      </c>
      <c r="B96" s="5" t="str">
        <f>"Arrende"</f>
        <v>Arrende</v>
      </c>
      <c r="C96" s="210">
        <v>-4500</v>
      </c>
      <c r="D96" s="279">
        <v>-4300</v>
      </c>
      <c r="E96" s="263">
        <v>-4281</v>
      </c>
      <c r="F96" s="239">
        <f t="shared" si="10"/>
        <v>19</v>
      </c>
      <c r="G96" s="239"/>
      <c r="H96" s="290">
        <v>-4213</v>
      </c>
      <c r="I96" s="188">
        <v>-4119</v>
      </c>
      <c r="J96" s="188">
        <v>-4051</v>
      </c>
      <c r="K96" s="188">
        <v>-4004</v>
      </c>
      <c r="L96" s="171">
        <v>-4000</v>
      </c>
      <c r="M96" s="153">
        <v>-1643</v>
      </c>
      <c r="N96" s="127">
        <v>-1643</v>
      </c>
    </row>
    <row r="97" spans="1:14" x14ac:dyDescent="0.25">
      <c r="A97" s="24" t="str">
        <f>"5120"</f>
        <v>5120</v>
      </c>
      <c r="B97" s="5" t="str">
        <f>"Elektricitet"</f>
        <v>Elektricitet</v>
      </c>
      <c r="C97" s="210">
        <v>-30000</v>
      </c>
      <c r="D97" s="279">
        <v>-30000</v>
      </c>
      <c r="E97" s="263">
        <v>-21124</v>
      </c>
      <c r="F97" s="239">
        <f t="shared" si="10"/>
        <v>8876</v>
      </c>
      <c r="G97" s="239"/>
      <c r="H97" s="290">
        <v>-32089</v>
      </c>
      <c r="I97" s="188">
        <v>-24974</v>
      </c>
      <c r="J97" s="188">
        <v>-20172</v>
      </c>
      <c r="K97" s="188">
        <v>-15738</v>
      </c>
      <c r="L97" s="171">
        <v>-21431</v>
      </c>
      <c r="M97" s="153">
        <v>-24526</v>
      </c>
      <c r="N97" s="127">
        <v>-28939</v>
      </c>
    </row>
    <row r="98" spans="1:14" x14ac:dyDescent="0.25">
      <c r="A98" s="24" t="str">
        <f>"5140"</f>
        <v>5140</v>
      </c>
      <c r="B98" s="5" t="str">
        <f>"Vatten och sophämtning"</f>
        <v>Vatten och sophämtning</v>
      </c>
      <c r="C98" s="210">
        <v>-8000</v>
      </c>
      <c r="D98" s="279">
        <v>-10000</v>
      </c>
      <c r="E98" s="263">
        <v>-7733</v>
      </c>
      <c r="F98" s="239">
        <f t="shared" si="10"/>
        <v>2267</v>
      </c>
      <c r="G98" s="239"/>
      <c r="H98" s="290">
        <v>-9609</v>
      </c>
      <c r="I98" s="188">
        <v>-9718</v>
      </c>
      <c r="J98" s="188">
        <v>-6787</v>
      </c>
      <c r="K98" s="188">
        <v>-4833</v>
      </c>
      <c r="L98" s="171">
        <v>-6464</v>
      </c>
      <c r="M98" s="153">
        <v>-5849</v>
      </c>
      <c r="N98" s="127">
        <v>-6178</v>
      </c>
    </row>
    <row r="99" spans="1:14" x14ac:dyDescent="0.25">
      <c r="A99" s="24" t="s">
        <v>45</v>
      </c>
      <c r="B99" s="5" t="s">
        <v>46</v>
      </c>
      <c r="C99" s="210">
        <v>0</v>
      </c>
      <c r="D99" s="279"/>
      <c r="E99" s="263">
        <v>0</v>
      </c>
      <c r="F99" s="255">
        <f t="shared" si="10"/>
        <v>0</v>
      </c>
      <c r="G99" s="239"/>
      <c r="H99" s="290">
        <v>-10145</v>
      </c>
      <c r="I99" s="188"/>
      <c r="K99" s="188"/>
      <c r="L99" s="171">
        <v>-8039.38</v>
      </c>
      <c r="M99" s="153"/>
      <c r="N99" s="127"/>
    </row>
    <row r="100" spans="1:14" x14ac:dyDescent="0.25">
      <c r="A100" s="24" t="str">
        <f>"5170"</f>
        <v>5170</v>
      </c>
      <c r="B100" s="5" t="str">
        <f>"Fastighetsunderhåll"</f>
        <v>Fastighetsunderhåll</v>
      </c>
      <c r="C100" s="210">
        <v>-20000</v>
      </c>
      <c r="D100" s="279">
        <v>-10000</v>
      </c>
      <c r="E100" s="263">
        <v>-64149</v>
      </c>
      <c r="F100" s="239">
        <f t="shared" si="10"/>
        <v>-54149</v>
      </c>
      <c r="G100" s="239"/>
      <c r="H100" s="290">
        <v>-10831.7</v>
      </c>
      <c r="I100" s="188">
        <v>-113866.87</v>
      </c>
      <c r="J100" s="188">
        <v>-135001.76999999999</v>
      </c>
      <c r="K100" s="188">
        <v>-1287</v>
      </c>
      <c r="L100" s="171">
        <v>-5540.5</v>
      </c>
      <c r="M100" s="153">
        <v>-18240</v>
      </c>
      <c r="N100" s="127">
        <v>-53805</v>
      </c>
    </row>
    <row r="101" spans="1:14" x14ac:dyDescent="0.25">
      <c r="A101" s="24" t="s">
        <v>47</v>
      </c>
      <c r="B101" s="5" t="s">
        <v>48</v>
      </c>
      <c r="C101" s="210"/>
      <c r="D101" s="279"/>
      <c r="E101" s="263"/>
      <c r="F101" s="239">
        <f t="shared" si="10"/>
        <v>0</v>
      </c>
      <c r="G101" s="239"/>
      <c r="H101" s="290"/>
      <c r="I101" s="188"/>
      <c r="J101" s="188"/>
      <c r="K101" s="188"/>
      <c r="L101" s="171">
        <v>-4006</v>
      </c>
      <c r="M101" s="153">
        <v>-61624.5</v>
      </c>
      <c r="N101" s="127"/>
    </row>
    <row r="102" spans="1:14" x14ac:dyDescent="0.25">
      <c r="A102" s="24" t="str">
        <f>"5410"</f>
        <v>5410</v>
      </c>
      <c r="B102" s="5" t="str">
        <f>"Förbrukningsinventarier"</f>
        <v>Förbrukningsinventarier</v>
      </c>
      <c r="C102" s="210">
        <v>-10000</v>
      </c>
      <c r="D102" s="279">
        <v>-15000</v>
      </c>
      <c r="E102" s="263">
        <v>-3406.35</v>
      </c>
      <c r="F102" s="255">
        <f t="shared" si="10"/>
        <v>11593.65</v>
      </c>
      <c r="G102" s="239"/>
      <c r="H102" s="290">
        <v>-16461.900000000001</v>
      </c>
      <c r="I102" s="188">
        <v>-43884.6</v>
      </c>
      <c r="J102" s="188">
        <v>-2639</v>
      </c>
      <c r="K102" s="188">
        <v>-13444</v>
      </c>
      <c r="L102" s="171">
        <v>-1795</v>
      </c>
      <c r="M102" s="153">
        <v>-1038</v>
      </c>
      <c r="N102" s="127">
        <v>-1675</v>
      </c>
    </row>
    <row r="103" spans="1:14" x14ac:dyDescent="0.25">
      <c r="A103" s="24" t="str">
        <f>"5420"</f>
        <v>5420</v>
      </c>
      <c r="B103" s="5" t="str">
        <f>"Programvaror"</f>
        <v>Programvaror</v>
      </c>
      <c r="C103" s="210">
        <v>-300</v>
      </c>
      <c r="D103" s="279"/>
      <c r="E103" s="263">
        <v>-211.21</v>
      </c>
      <c r="F103" s="239">
        <f t="shared" si="10"/>
        <v>-211.21</v>
      </c>
      <c r="G103" s="239"/>
      <c r="H103" s="290"/>
      <c r="I103" s="188"/>
      <c r="J103" s="188"/>
      <c r="K103" s="188"/>
      <c r="L103" s="171"/>
      <c r="M103" s="153">
        <v>-1265</v>
      </c>
      <c r="N103" s="127">
        <v>-1200</v>
      </c>
    </row>
    <row r="104" spans="1:14" x14ac:dyDescent="0.25">
      <c r="A104" s="24" t="s">
        <v>49</v>
      </c>
      <c r="B104" s="5" t="s">
        <v>50</v>
      </c>
      <c r="C104" s="210">
        <v>-1000</v>
      </c>
      <c r="D104" s="279">
        <v>-10000</v>
      </c>
      <c r="E104" s="263">
        <v>-8152.97</v>
      </c>
      <c r="F104" s="255">
        <f t="shared" si="10"/>
        <v>1847.0299999999997</v>
      </c>
      <c r="G104" s="239"/>
      <c r="H104" s="290">
        <v>-9988.17</v>
      </c>
      <c r="I104" s="188">
        <v>-1525.8</v>
      </c>
      <c r="J104" s="188">
        <v>-6039.33</v>
      </c>
      <c r="K104" s="188">
        <v>-1616</v>
      </c>
      <c r="L104" s="171">
        <v>-3556</v>
      </c>
      <c r="M104" s="153"/>
      <c r="N104" s="127"/>
    </row>
    <row r="105" spans="1:14" x14ac:dyDescent="0.25">
      <c r="A105" s="24" t="str">
        <f>"5500"</f>
        <v>5500</v>
      </c>
      <c r="B105" s="5" t="str">
        <f>"Kanotunderhåll"</f>
        <v>Kanotunderhåll</v>
      </c>
      <c r="C105" s="210">
        <v>-5000</v>
      </c>
      <c r="D105" s="279">
        <v>-10000</v>
      </c>
      <c r="E105" s="263">
        <v>-735.85</v>
      </c>
      <c r="F105" s="255">
        <f t="shared" si="10"/>
        <v>9264.15</v>
      </c>
      <c r="G105" s="239"/>
      <c r="H105" s="290">
        <v>-1212.7</v>
      </c>
      <c r="I105" s="188">
        <v>-1752.8</v>
      </c>
      <c r="J105" s="188">
        <v>0</v>
      </c>
      <c r="K105" s="188"/>
      <c r="L105" s="171">
        <v>-2258</v>
      </c>
      <c r="M105" s="153">
        <v>-4670</v>
      </c>
      <c r="N105" s="127">
        <v>-1400</v>
      </c>
    </row>
    <row r="106" spans="1:14" x14ac:dyDescent="0.25">
      <c r="A106" s="24" t="str">
        <f>"5611"</f>
        <v>5611</v>
      </c>
      <c r="B106" s="5" t="s">
        <v>51</v>
      </c>
      <c r="C106" s="210">
        <v>-5000</v>
      </c>
      <c r="D106" s="279">
        <v>-3000</v>
      </c>
      <c r="E106" s="263">
        <v>-4865.28</v>
      </c>
      <c r="F106" s="239">
        <f t="shared" si="10"/>
        <v>-1865.2799999999997</v>
      </c>
      <c r="G106" s="239"/>
      <c r="H106" s="290">
        <v>-3277.79</v>
      </c>
      <c r="I106" s="188">
        <v>-2789.82</v>
      </c>
      <c r="J106" s="188">
        <v>1414.08</v>
      </c>
      <c r="K106" s="188">
        <v>-875</v>
      </c>
      <c r="L106" s="171">
        <v>-1569</v>
      </c>
      <c r="M106" s="153">
        <v>-573</v>
      </c>
      <c r="N106" s="127">
        <v>-1867</v>
      </c>
    </row>
    <row r="107" spans="1:14" x14ac:dyDescent="0.25">
      <c r="A107" s="24" t="str">
        <f>"5612"</f>
        <v>5612</v>
      </c>
      <c r="B107" s="5" t="str">
        <f>"Försäkring"</f>
        <v>Försäkring</v>
      </c>
      <c r="C107" s="210">
        <v>-20000</v>
      </c>
      <c r="D107" s="279">
        <v>-20000</v>
      </c>
      <c r="E107" s="263">
        <v>-18509</v>
      </c>
      <c r="F107" s="255">
        <f t="shared" si="10"/>
        <v>1491</v>
      </c>
      <c r="G107" s="239"/>
      <c r="H107" s="290">
        <v>-17955</v>
      </c>
      <c r="I107" s="188">
        <v>-21275</v>
      </c>
      <c r="J107" s="188">
        <v>-16185</v>
      </c>
      <c r="K107" s="188">
        <v>-7266</v>
      </c>
      <c r="L107" s="171">
        <v>-28098</v>
      </c>
      <c r="M107" s="153">
        <v>-27736</v>
      </c>
      <c r="N107" s="127">
        <v>-43706</v>
      </c>
    </row>
    <row r="108" spans="1:14" x14ac:dyDescent="0.25">
      <c r="A108" s="24" t="s">
        <v>52</v>
      </c>
      <c r="B108" s="5" t="s">
        <v>53</v>
      </c>
      <c r="C108" s="210">
        <v>-600</v>
      </c>
      <c r="D108" s="279">
        <v>-1750</v>
      </c>
      <c r="E108" s="263">
        <v>-525</v>
      </c>
      <c r="F108" s="255">
        <f t="shared" si="10"/>
        <v>1225</v>
      </c>
      <c r="G108" s="239"/>
      <c r="H108" s="290">
        <v>-1714</v>
      </c>
      <c r="I108" s="188"/>
      <c r="J108" s="188"/>
      <c r="K108" s="188"/>
      <c r="L108" s="171">
        <v>-4371</v>
      </c>
      <c r="M108" s="153"/>
      <c r="N108" s="127">
        <v>-400</v>
      </c>
    </row>
    <row r="109" spans="1:14" x14ac:dyDescent="0.25">
      <c r="A109" s="24"/>
      <c r="B109" s="5"/>
      <c r="C109" s="210"/>
      <c r="D109" s="279"/>
      <c r="E109" s="263"/>
      <c r="F109" s="255">
        <f t="shared" si="10"/>
        <v>0</v>
      </c>
      <c r="G109" s="239"/>
      <c r="H109" s="290"/>
      <c r="I109" s="188"/>
      <c r="J109" s="188"/>
      <c r="K109" s="188"/>
      <c r="L109" s="171"/>
      <c r="M109" s="153">
        <v>-315</v>
      </c>
      <c r="N109" s="127"/>
    </row>
    <row r="110" spans="1:14" x14ac:dyDescent="0.25">
      <c r="A110" s="24" t="str">
        <f>"5620"</f>
        <v>5620</v>
      </c>
      <c r="B110" s="5" t="s">
        <v>54</v>
      </c>
      <c r="C110" s="210">
        <v>0</v>
      </c>
      <c r="D110" s="279">
        <v>-1500</v>
      </c>
      <c r="E110" s="263">
        <v>0</v>
      </c>
      <c r="F110" s="255">
        <f t="shared" si="10"/>
        <v>1500</v>
      </c>
      <c r="G110" s="239"/>
      <c r="H110" s="290">
        <v>0</v>
      </c>
      <c r="I110" s="188">
        <v>-1445.9</v>
      </c>
      <c r="J110" s="188">
        <v>-49893</v>
      </c>
      <c r="K110" s="188">
        <v>-2295</v>
      </c>
      <c r="L110" s="171">
        <v>-8015</v>
      </c>
      <c r="M110" s="153">
        <v>-1476</v>
      </c>
      <c r="N110" s="127">
        <v>-1721</v>
      </c>
    </row>
    <row r="111" spans="1:14" x14ac:dyDescent="0.25">
      <c r="A111" s="24" t="s">
        <v>55</v>
      </c>
      <c r="B111" s="5" t="s">
        <v>56</v>
      </c>
      <c r="C111" s="210"/>
      <c r="D111" s="279"/>
      <c r="E111" s="263"/>
      <c r="F111" s="255">
        <f t="shared" si="10"/>
        <v>0</v>
      </c>
      <c r="G111" s="239"/>
      <c r="H111" s="290"/>
      <c r="I111" s="188"/>
      <c r="J111" s="188"/>
      <c r="K111" s="188"/>
      <c r="L111" s="171"/>
      <c r="M111" s="153"/>
      <c r="N111" s="127"/>
    </row>
    <row r="112" spans="1:14" x14ac:dyDescent="0.25">
      <c r="A112" s="24" t="str">
        <f>"6110"</f>
        <v>6110</v>
      </c>
      <c r="B112" s="5" t="str">
        <f>"Kontorsmaterial"</f>
        <v>Kontorsmaterial</v>
      </c>
      <c r="C112" s="210"/>
      <c r="D112" s="279">
        <v>-500</v>
      </c>
      <c r="E112" s="263"/>
      <c r="F112" s="255">
        <f t="shared" si="10"/>
        <v>500</v>
      </c>
      <c r="G112" s="239"/>
      <c r="H112" s="290"/>
      <c r="I112" s="188"/>
      <c r="J112" s="188"/>
      <c r="K112" s="188">
        <v>-148</v>
      </c>
      <c r="L112" s="171">
        <v>-1733</v>
      </c>
      <c r="M112" s="153">
        <v>-138</v>
      </c>
      <c r="N112" s="127">
        <v>-115</v>
      </c>
    </row>
    <row r="113" spans="1:14" x14ac:dyDescent="0.25">
      <c r="A113" s="24" t="str">
        <f>"6210"</f>
        <v>6210</v>
      </c>
      <c r="B113" s="5" t="str">
        <f>"Telefon"</f>
        <v>Telefon</v>
      </c>
      <c r="C113" s="210"/>
      <c r="D113" s="279"/>
      <c r="E113" s="263"/>
      <c r="F113" s="255">
        <f t="shared" si="10"/>
        <v>0</v>
      </c>
      <c r="G113" s="239"/>
      <c r="H113" s="290"/>
      <c r="I113" s="188"/>
      <c r="J113" s="188"/>
      <c r="K113" s="188"/>
      <c r="L113" s="171"/>
      <c r="M113" s="153">
        <v>-440</v>
      </c>
      <c r="N113" s="127">
        <v>-1928</v>
      </c>
    </row>
    <row r="114" spans="1:14" x14ac:dyDescent="0.25">
      <c r="A114" s="24" t="str">
        <f>"6250"</f>
        <v>6250</v>
      </c>
      <c r="B114" s="5" t="str">
        <f>"Porto"</f>
        <v>Porto</v>
      </c>
      <c r="C114" s="210"/>
      <c r="D114" s="279"/>
      <c r="E114" s="263"/>
      <c r="F114" s="255">
        <f t="shared" si="10"/>
        <v>0</v>
      </c>
      <c r="G114" s="239"/>
      <c r="H114" s="290"/>
      <c r="I114" s="188"/>
      <c r="J114" s="188"/>
      <c r="K114" s="188">
        <v>-183</v>
      </c>
      <c r="L114" s="171">
        <v>-140</v>
      </c>
      <c r="M114" s="153">
        <v>-60</v>
      </c>
      <c r="N114" s="127">
        <v>-60</v>
      </c>
    </row>
    <row r="115" spans="1:14" x14ac:dyDescent="0.25">
      <c r="A115" s="24" t="s">
        <v>169</v>
      </c>
      <c r="B115" s="5" t="s">
        <v>170</v>
      </c>
      <c r="C115" s="210">
        <v>-2500</v>
      </c>
      <c r="D115" s="279"/>
      <c r="E115" s="263">
        <v>-2667.57</v>
      </c>
      <c r="F115" s="255">
        <f t="shared" si="10"/>
        <v>-2667.57</v>
      </c>
      <c r="G115" s="239"/>
      <c r="H115" s="290"/>
      <c r="I115" s="188"/>
      <c r="J115" s="188"/>
      <c r="K115" s="188"/>
      <c r="L115" s="171"/>
      <c r="M115" s="153"/>
      <c r="N115" s="127"/>
    </row>
    <row r="116" spans="1:14" x14ac:dyDescent="0.25">
      <c r="A116" s="24" t="s">
        <v>127</v>
      </c>
      <c r="B116" s="5" t="s">
        <v>128</v>
      </c>
      <c r="C116" s="210">
        <v>-7000</v>
      </c>
      <c r="D116" s="279">
        <v>-25000</v>
      </c>
      <c r="E116" s="263">
        <v>-6405</v>
      </c>
      <c r="F116" s="239"/>
      <c r="G116" s="239"/>
      <c r="H116" s="290">
        <v>-26174</v>
      </c>
      <c r="I116" s="188">
        <v>-27425</v>
      </c>
      <c r="J116" s="188">
        <v>-16680</v>
      </c>
      <c r="K116" s="188"/>
      <c r="L116" s="171"/>
      <c r="M116" s="153"/>
      <c r="N116" s="127"/>
    </row>
    <row r="117" spans="1:14" x14ac:dyDescent="0.25">
      <c r="A117" s="24" t="str">
        <f>"6570"</f>
        <v>6570</v>
      </c>
      <c r="B117" s="5" t="str">
        <f>"Bankkostnader"</f>
        <v>Bankkostnader</v>
      </c>
      <c r="C117" s="210">
        <v>-1000</v>
      </c>
      <c r="D117" s="279">
        <v>-1200</v>
      </c>
      <c r="E117" s="263">
        <v>-964.5</v>
      </c>
      <c r="F117" s="255">
        <f>-(D117-E117)</f>
        <v>235.5</v>
      </c>
      <c r="G117" s="239"/>
      <c r="H117" s="290">
        <v>-971.99</v>
      </c>
      <c r="I117" s="188">
        <v>-927</v>
      </c>
      <c r="J117" s="188">
        <v>-909</v>
      </c>
      <c r="K117" s="188">
        <v>-615</v>
      </c>
      <c r="L117" s="171">
        <v>-4.5</v>
      </c>
      <c r="M117" s="153">
        <v>-1869</v>
      </c>
      <c r="N117" s="127">
        <v>-1971</v>
      </c>
    </row>
    <row r="118" spans="1:14" x14ac:dyDescent="0.25">
      <c r="A118" s="24" t="str">
        <f>"6980"</f>
        <v>6980</v>
      </c>
      <c r="B118" s="5" t="str">
        <f>"Föreningsavgift /Licenser"</f>
        <v>Föreningsavgift /Licenser</v>
      </c>
      <c r="C118" s="210">
        <v>-20000</v>
      </c>
      <c r="D118" s="279">
        <v>-15000</v>
      </c>
      <c r="E118" s="263">
        <v>-19240</v>
      </c>
      <c r="F118" s="255">
        <f>-(D118-E118)</f>
        <v>-4240</v>
      </c>
      <c r="G118" s="239"/>
      <c r="H118" s="290">
        <v>-14550</v>
      </c>
      <c r="I118" s="188">
        <v>-18200</v>
      </c>
      <c r="J118" s="188">
        <v>-23420</v>
      </c>
      <c r="K118" s="188">
        <v>-17180</v>
      </c>
      <c r="L118" s="171">
        <v>-15790</v>
      </c>
      <c r="M118" s="153">
        <v>-26978</v>
      </c>
      <c r="N118" s="127">
        <v>-24550</v>
      </c>
    </row>
    <row r="119" spans="1:14" x14ac:dyDescent="0.25">
      <c r="A119" s="24" t="str">
        <f>"6990"</f>
        <v>6990</v>
      </c>
      <c r="B119" s="5" t="str">
        <f>"Övriga Kostnader"</f>
        <v>Övriga Kostnader</v>
      </c>
      <c r="C119" s="210">
        <v>-5000</v>
      </c>
      <c r="D119" s="279">
        <v>-5000</v>
      </c>
      <c r="E119" s="263">
        <v>-4478</v>
      </c>
      <c r="F119" s="255">
        <f>-(D119-E119)</f>
        <v>522</v>
      </c>
      <c r="G119" s="239"/>
      <c r="H119" s="290">
        <v>-4954.95</v>
      </c>
      <c r="I119" s="188">
        <v>-3187.5</v>
      </c>
      <c r="J119" s="188">
        <v>-778</v>
      </c>
      <c r="K119" s="188">
        <v>-4730.79</v>
      </c>
      <c r="L119" s="171">
        <v>-3998.66</v>
      </c>
      <c r="M119" s="153">
        <v>-3766.5</v>
      </c>
      <c r="N119" s="127">
        <v>-14526.5</v>
      </c>
    </row>
    <row r="120" spans="1:14" x14ac:dyDescent="0.25">
      <c r="A120" s="26"/>
      <c r="B120" s="6"/>
      <c r="C120" s="210"/>
      <c r="D120" s="279"/>
      <c r="E120" s="263"/>
      <c r="F120" s="255"/>
      <c r="G120" s="239"/>
      <c r="H120" s="290"/>
      <c r="I120" s="188"/>
      <c r="J120" s="188"/>
      <c r="K120" s="188"/>
      <c r="L120" s="6"/>
      <c r="M120" s="153"/>
      <c r="N120" s="127"/>
    </row>
    <row r="121" spans="1:14" s="1" customFormat="1" ht="15.75" thickBot="1" x14ac:dyDescent="0.3">
      <c r="A121" s="27" t="str">
        <f>"S:a Övriga externa kostnader"</f>
        <v>S:a Övriga externa kostnader</v>
      </c>
      <c r="B121" s="14"/>
      <c r="C121" s="212">
        <f>SUM(C96:C119)</f>
        <v>-139900</v>
      </c>
      <c r="D121" s="283">
        <f>SUM(D96:D119)</f>
        <v>-162250</v>
      </c>
      <c r="E121" s="265">
        <f>SUM(E95:E119)</f>
        <v>-171587.73000000004</v>
      </c>
      <c r="F121" s="255">
        <f t="shared" ref="F121" si="11">-(D121-E121)</f>
        <v>-9337.7300000000396</v>
      </c>
      <c r="G121" s="240"/>
      <c r="H121" s="292">
        <f>SUM(H96:H119)</f>
        <v>-164148.20000000001</v>
      </c>
      <c r="I121" s="189">
        <f t="shared" ref="I121:N121" si="12">SUM(I96:I119)</f>
        <v>-275091.28999999998</v>
      </c>
      <c r="J121" s="189">
        <f t="shared" si="12"/>
        <v>-281141.02</v>
      </c>
      <c r="K121" s="189">
        <f t="shared" si="12"/>
        <v>-74214.789999999994</v>
      </c>
      <c r="L121" s="170">
        <f t="shared" si="12"/>
        <v>-120809.04000000001</v>
      </c>
      <c r="M121" s="109">
        <f t="shared" si="12"/>
        <v>-182207</v>
      </c>
      <c r="N121" s="119">
        <f t="shared" si="12"/>
        <v>-185684.5</v>
      </c>
    </row>
    <row r="122" spans="1:14" s="1" customFormat="1" ht="15.75" thickBot="1" x14ac:dyDescent="0.3">
      <c r="A122" s="80"/>
      <c r="B122" s="81"/>
      <c r="C122" s="206"/>
      <c r="D122" s="286"/>
      <c r="E122" s="269"/>
      <c r="F122" s="243"/>
      <c r="G122" s="243"/>
      <c r="H122" s="295"/>
      <c r="I122" s="197"/>
      <c r="J122" s="197"/>
      <c r="K122" s="197"/>
      <c r="L122" s="172"/>
      <c r="M122" s="158"/>
      <c r="N122" s="130"/>
    </row>
    <row r="123" spans="1:14" x14ac:dyDescent="0.25">
      <c r="A123" s="19"/>
      <c r="B123" s="20"/>
      <c r="C123" s="205"/>
      <c r="D123" s="282"/>
      <c r="E123" s="266"/>
      <c r="F123" s="241"/>
      <c r="G123" s="241"/>
      <c r="H123" s="293"/>
      <c r="I123" s="190"/>
      <c r="J123" s="190"/>
      <c r="K123" s="190"/>
      <c r="L123" s="168"/>
      <c r="M123" s="155"/>
      <c r="N123" s="131"/>
    </row>
    <row r="124" spans="1:14" x14ac:dyDescent="0.25">
      <c r="A124" s="22" t="str">
        <f>"Personalkostnader"</f>
        <v>Personalkostnader</v>
      </c>
      <c r="B124" s="6"/>
      <c r="C124" s="203"/>
      <c r="D124" s="278"/>
      <c r="E124" s="263"/>
      <c r="F124" s="239"/>
      <c r="G124" s="239"/>
      <c r="H124" s="290"/>
      <c r="I124" s="188"/>
      <c r="J124" s="188"/>
      <c r="K124" s="188"/>
      <c r="L124" s="6"/>
      <c r="M124" s="153"/>
      <c r="N124" s="127"/>
    </row>
    <row r="125" spans="1:14" x14ac:dyDescent="0.25">
      <c r="A125" s="24" t="s">
        <v>57</v>
      </c>
      <c r="B125" s="5" t="s">
        <v>58</v>
      </c>
      <c r="C125" s="210">
        <v>0</v>
      </c>
      <c r="D125" s="279">
        <v>-1500</v>
      </c>
      <c r="E125" s="263">
        <v>0</v>
      </c>
      <c r="F125" s="255">
        <f>-(D125-E125)</f>
        <v>1500</v>
      </c>
      <c r="G125" s="239"/>
      <c r="H125" s="290">
        <v>0</v>
      </c>
      <c r="I125" s="188">
        <v>-1600</v>
      </c>
      <c r="J125" s="188">
        <v>-1500</v>
      </c>
      <c r="K125" s="188">
        <v>-4050</v>
      </c>
      <c r="L125" s="171">
        <v>-600</v>
      </c>
      <c r="M125" s="153">
        <v>-900</v>
      </c>
      <c r="N125" s="127">
        <v>-2200</v>
      </c>
    </row>
    <row r="126" spans="1:14" x14ac:dyDescent="0.25">
      <c r="A126" s="24" t="str">
        <f>"7210"</f>
        <v>7210</v>
      </c>
      <c r="B126" s="5" t="str">
        <f>"Resekostnads ersättning"</f>
        <v>Resekostnads ersättning</v>
      </c>
      <c r="C126" s="210">
        <v>-2000</v>
      </c>
      <c r="D126" s="279">
        <v>-2000</v>
      </c>
      <c r="E126" s="263">
        <v>-2154</v>
      </c>
      <c r="F126" s="239">
        <f>-(D126-E126)</f>
        <v>-154</v>
      </c>
      <c r="G126" s="239"/>
      <c r="H126" s="290">
        <v>-1365</v>
      </c>
      <c r="I126" s="188">
        <v>-6146.89</v>
      </c>
      <c r="J126" s="188">
        <v>-2673</v>
      </c>
      <c r="K126" s="188">
        <v>-851</v>
      </c>
      <c r="L126" s="171">
        <v>-610</v>
      </c>
      <c r="M126" s="153">
        <v>-6961</v>
      </c>
      <c r="N126" s="127">
        <v>-6040</v>
      </c>
    </row>
    <row r="127" spans="1:14" x14ac:dyDescent="0.25">
      <c r="A127" s="24" t="str">
        <f>"7610"</f>
        <v>7610</v>
      </c>
      <c r="B127" s="5" t="str">
        <f>"Utbildning"</f>
        <v>Utbildning</v>
      </c>
      <c r="C127" s="210">
        <v>-5000</v>
      </c>
      <c r="D127" s="279"/>
      <c r="E127" s="263">
        <v>-16500</v>
      </c>
      <c r="F127" s="255">
        <f>-(D127-E127)</f>
        <v>-16500</v>
      </c>
      <c r="G127" s="239"/>
      <c r="H127" s="290">
        <v>-6703.5</v>
      </c>
      <c r="I127" s="188">
        <v>0</v>
      </c>
      <c r="J127" s="188">
        <v>-13629</v>
      </c>
      <c r="K127" s="188">
        <v>-7796</v>
      </c>
      <c r="L127" s="171"/>
      <c r="M127" s="153">
        <v>-11671</v>
      </c>
      <c r="N127" s="127">
        <v>-18925</v>
      </c>
    </row>
    <row r="128" spans="1:14" x14ac:dyDescent="0.25">
      <c r="A128" s="26"/>
      <c r="B128" s="6" t="s">
        <v>37</v>
      </c>
      <c r="C128" s="210"/>
      <c r="D128" s="279"/>
      <c r="E128" s="263"/>
      <c r="F128" s="255"/>
      <c r="G128" s="239"/>
      <c r="H128" s="290"/>
      <c r="I128" s="188"/>
      <c r="J128" s="188"/>
      <c r="K128" s="188"/>
      <c r="L128" s="6"/>
      <c r="M128" s="153"/>
      <c r="N128" s="127"/>
    </row>
    <row r="129" spans="1:66" s="1" customFormat="1" ht="15.75" thickBot="1" x14ac:dyDescent="0.3">
      <c r="A129" s="27" t="str">
        <f>"S:a Personalkostnader"</f>
        <v>S:a Personalkostnader</v>
      </c>
      <c r="B129" s="14"/>
      <c r="C129" s="212">
        <f>SUM(C125:C127)</f>
        <v>-7000</v>
      </c>
      <c r="D129" s="283">
        <f>SUM(D125:D127)</f>
        <v>-3500</v>
      </c>
      <c r="E129" s="265">
        <f>SUM(E125:E127)</f>
        <v>-18654</v>
      </c>
      <c r="F129" s="292">
        <f t="shared" ref="F129" si="13">-(D129-E129)</f>
        <v>-15154</v>
      </c>
      <c r="G129" s="240"/>
      <c r="H129" s="292">
        <f>SUM(H125:H127)</f>
        <v>-8068.5</v>
      </c>
      <c r="I129" s="189">
        <f t="shared" ref="I129:N129" si="14">SUM(I125:I127)</f>
        <v>-7746.89</v>
      </c>
      <c r="J129" s="189">
        <f t="shared" si="14"/>
        <v>-17802</v>
      </c>
      <c r="K129" s="189">
        <f t="shared" si="14"/>
        <v>-12697</v>
      </c>
      <c r="L129" s="170">
        <f t="shared" si="14"/>
        <v>-1210</v>
      </c>
      <c r="M129" s="154">
        <f t="shared" si="14"/>
        <v>-19532</v>
      </c>
      <c r="N129" s="119">
        <f t="shared" si="14"/>
        <v>-27165</v>
      </c>
    </row>
    <row r="130" spans="1:66" x14ac:dyDescent="0.25">
      <c r="A130" s="19"/>
      <c r="B130" s="20"/>
      <c r="C130" s="205"/>
      <c r="D130" s="282"/>
      <c r="E130" s="266"/>
      <c r="F130" s="241"/>
      <c r="G130" s="241"/>
      <c r="H130" s="293"/>
      <c r="I130" s="190"/>
      <c r="J130" s="190"/>
      <c r="K130" s="190"/>
      <c r="L130" s="168"/>
      <c r="M130" s="155"/>
      <c r="N130" s="131"/>
    </row>
    <row r="131" spans="1:66" x14ac:dyDescent="0.25">
      <c r="A131" s="26"/>
      <c r="B131" s="6"/>
      <c r="C131" s="203"/>
      <c r="D131" s="278"/>
      <c r="E131" s="263"/>
      <c r="F131" s="239"/>
      <c r="G131" s="239"/>
      <c r="H131" s="290"/>
      <c r="I131" s="188"/>
      <c r="J131" s="188"/>
      <c r="K131" s="188"/>
      <c r="L131" s="6"/>
      <c r="M131" s="153"/>
      <c r="N131" s="127"/>
    </row>
    <row r="132" spans="1:66" s="2" customFormat="1" ht="15.75" thickBot="1" x14ac:dyDescent="0.3">
      <c r="A132" s="32" t="str">
        <f>"S:a Rörelsens kostnader inkl råvaror mm"</f>
        <v>S:a Rörelsens kostnader inkl råvaror mm</v>
      </c>
      <c r="B132" s="33"/>
      <c r="C132" s="147">
        <f>SUM(C88+C121+C129)</f>
        <v>-531213</v>
      </c>
      <c r="D132" s="147">
        <f>SUM(D88+D121+D129)</f>
        <v>-567750</v>
      </c>
      <c r="E132" s="242">
        <f>E88+E121+E129</f>
        <v>-384799.69000000006</v>
      </c>
      <c r="F132" s="242"/>
      <c r="G132" s="242"/>
      <c r="H132" s="163">
        <f>H88+H121+H129</f>
        <v>-686874.89999999991</v>
      </c>
      <c r="I132" s="163">
        <f>I88+I121+I129</f>
        <v>-725624.53999999992</v>
      </c>
      <c r="J132" s="163">
        <f>J88+J121+J129</f>
        <v>-607615.47</v>
      </c>
      <c r="K132" s="163">
        <f>K88+K121+K129</f>
        <v>-437772.44</v>
      </c>
      <c r="L132" s="149">
        <f>L88+L129+L121</f>
        <v>-408752.87</v>
      </c>
      <c r="M132" s="110">
        <f>M88+M129+M121</f>
        <v>-487742.48</v>
      </c>
      <c r="N132" s="111">
        <f>N88+N121+N129</f>
        <v>-471937.5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s="2" customFormat="1" x14ac:dyDescent="0.25">
      <c r="A133" s="51"/>
      <c r="B133" s="17"/>
      <c r="C133" s="207"/>
      <c r="D133" s="287"/>
      <c r="E133" s="270"/>
      <c r="F133" s="244"/>
      <c r="G133" s="244"/>
      <c r="H133" s="296"/>
      <c r="I133" s="191"/>
      <c r="J133" s="191"/>
      <c r="K133" s="191"/>
      <c r="L133" s="81"/>
      <c r="M133" s="156"/>
      <c r="N133" s="13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s="2" customFormat="1" x14ac:dyDescent="0.25">
      <c r="A134" s="51" t="s">
        <v>59</v>
      </c>
      <c r="B134" s="17" t="s">
        <v>60</v>
      </c>
      <c r="C134" s="208"/>
      <c r="D134" s="288"/>
      <c r="E134" s="271"/>
      <c r="F134" s="245"/>
      <c r="G134" s="245"/>
      <c r="H134" s="297"/>
      <c r="I134" s="198"/>
      <c r="J134" s="198"/>
      <c r="K134" s="198"/>
      <c r="L134" s="17">
        <v>118.94</v>
      </c>
      <c r="M134" s="157">
        <v>7419</v>
      </c>
      <c r="N134" s="132">
        <v>708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x14ac:dyDescent="0.25">
      <c r="A135" s="26"/>
      <c r="B135" s="6"/>
      <c r="C135" s="203"/>
      <c r="D135" s="278"/>
      <c r="E135" s="263"/>
      <c r="F135" s="239"/>
      <c r="G135" s="239"/>
      <c r="H135" s="290"/>
      <c r="I135" s="188"/>
      <c r="J135" s="188"/>
      <c r="K135" s="188"/>
      <c r="L135" s="6"/>
      <c r="M135" s="153"/>
      <c r="N135" s="127"/>
    </row>
    <row r="136" spans="1:66" s="3" customFormat="1" x14ac:dyDescent="0.25">
      <c r="A136" s="113" t="str">
        <f>"Beräknat resultat"</f>
        <v>Beräknat resultat</v>
      </c>
      <c r="B136" s="114"/>
      <c r="C136" s="150">
        <f>C56+C132</f>
        <v>7787</v>
      </c>
      <c r="D136" s="150">
        <f>D56+D132</f>
        <v>7550</v>
      </c>
      <c r="E136" s="150">
        <f>E56+E132+E134</f>
        <v>135543.5799999999</v>
      </c>
      <c r="F136" s="164">
        <f>-(D136-E136)</f>
        <v>127993.5799999999</v>
      </c>
      <c r="G136" s="246"/>
      <c r="H136" s="164">
        <f>H56+H132+H134</f>
        <v>16136.70000000007</v>
      </c>
      <c r="I136" s="164">
        <f t="shared" ref="I136:N136" si="15">I56+I132+I134</f>
        <v>-200525.78999999992</v>
      </c>
      <c r="J136" s="164">
        <f t="shared" si="15"/>
        <v>-30377.719999999972</v>
      </c>
      <c r="K136" s="164">
        <f t="shared" si="15"/>
        <v>37955.56</v>
      </c>
      <c r="L136" s="150">
        <f t="shared" si="15"/>
        <v>25598.40000000002</v>
      </c>
      <c r="M136" s="115">
        <f t="shared" si="15"/>
        <v>72132.520000000019</v>
      </c>
      <c r="N136" s="116">
        <f t="shared" si="15"/>
        <v>-59346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1:66" ht="15.75" thickBot="1" x14ac:dyDescent="0.3">
      <c r="A137" s="37"/>
      <c r="B137" s="15"/>
      <c r="C137" s="15"/>
      <c r="D137" s="15"/>
      <c r="E137" s="15"/>
      <c r="F137" s="247"/>
      <c r="G137" s="247"/>
      <c r="H137" s="15"/>
      <c r="I137" s="15"/>
      <c r="J137" s="15"/>
      <c r="K137" s="15"/>
      <c r="L137" s="15"/>
      <c r="M137" s="109"/>
      <c r="N137" s="15"/>
    </row>
    <row r="138" spans="1:66" x14ac:dyDescent="0.25">
      <c r="E138"/>
    </row>
    <row r="139" spans="1:66" x14ac:dyDescent="0.25">
      <c r="E139"/>
    </row>
    <row r="140" spans="1:66" x14ac:dyDescent="0.25">
      <c r="E140"/>
    </row>
    <row r="141" spans="1:66" x14ac:dyDescent="0.25">
      <c r="E141"/>
    </row>
    <row r="142" spans="1:66" x14ac:dyDescent="0.25">
      <c r="E142"/>
    </row>
    <row r="143" spans="1:66" x14ac:dyDescent="0.25">
      <c r="E143"/>
    </row>
    <row r="144" spans="1:66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D169-EBFE-4F3C-91CD-36E8CF781848}">
  <dimension ref="A1:BO170"/>
  <sheetViews>
    <sheetView topLeftCell="A3" zoomScale="110" zoomScaleNormal="110" workbookViewId="0">
      <selection activeCell="B19" sqref="B19"/>
    </sheetView>
  </sheetViews>
  <sheetFormatPr defaultRowHeight="15" x14ac:dyDescent="0.25"/>
  <cols>
    <col min="1" max="1" width="12.28515625" customWidth="1"/>
    <col min="2" max="2" width="31.42578125" bestFit="1" customWidth="1"/>
    <col min="3" max="3" width="13.42578125" bestFit="1" customWidth="1"/>
    <col min="4" max="4" width="13.140625" customWidth="1"/>
    <col min="5" max="5" width="15.7109375" style="272" customWidth="1"/>
    <col min="6" max="6" width="13.28515625" style="248" bestFit="1" customWidth="1"/>
    <col min="7" max="7" width="4.5703125" style="248" customWidth="1"/>
    <col min="8" max="8" width="13.42578125" bestFit="1" customWidth="1"/>
    <col min="9" max="12" width="15.7109375" customWidth="1"/>
    <col min="13" max="14" width="14.28515625" customWidth="1"/>
    <col min="15" max="15" width="13.7109375" style="4" customWidth="1"/>
    <col min="16" max="16" width="20.7109375" bestFit="1" customWidth="1"/>
    <col min="17" max="17" width="16" customWidth="1"/>
    <col min="18" max="18" width="12.7109375" customWidth="1"/>
    <col min="19" max="19" width="32.7109375" bestFit="1" customWidth="1"/>
    <col min="20" max="20" width="11.7109375" bestFit="1" customWidth="1"/>
  </cols>
  <sheetData>
    <row r="1" spans="1:15" hidden="1" x14ac:dyDescent="0.25">
      <c r="A1" s="9"/>
      <c r="C1" s="47"/>
      <c r="D1" s="47"/>
      <c r="E1" s="257"/>
      <c r="F1" s="233"/>
      <c r="G1" s="233"/>
      <c r="H1" s="194"/>
      <c r="I1" s="194"/>
      <c r="J1" s="194"/>
      <c r="K1" s="194"/>
      <c r="L1" s="194"/>
      <c r="M1" s="47"/>
      <c r="N1" s="47"/>
      <c r="O1" s="10"/>
    </row>
    <row r="2" spans="1:15" hidden="1" x14ac:dyDescent="0.25">
      <c r="A2" s="9"/>
      <c r="B2" s="87"/>
      <c r="C2" s="87"/>
      <c r="D2" s="87"/>
      <c r="E2" s="258"/>
      <c r="F2" s="234"/>
      <c r="G2" s="234"/>
      <c r="H2" s="195"/>
      <c r="I2" s="195"/>
      <c r="J2" s="195"/>
      <c r="K2" s="195"/>
      <c r="L2" s="195"/>
      <c r="M2" s="87"/>
      <c r="N2" s="7"/>
      <c r="O2" s="10"/>
    </row>
    <row r="3" spans="1:15" x14ac:dyDescent="0.25">
      <c r="A3" s="6"/>
      <c r="B3" s="47" t="s">
        <v>0</v>
      </c>
      <c r="C3" s="200">
        <v>2022</v>
      </c>
      <c r="D3" s="275">
        <v>2021</v>
      </c>
      <c r="E3" s="259">
        <v>2021</v>
      </c>
      <c r="F3" s="235"/>
      <c r="G3" s="235"/>
      <c r="H3" s="58">
        <v>2020</v>
      </c>
      <c r="I3" s="58">
        <v>2019</v>
      </c>
      <c r="J3" s="58">
        <v>2018</v>
      </c>
      <c r="K3" s="58">
        <v>2017</v>
      </c>
      <c r="L3" s="58">
        <v>2016</v>
      </c>
      <c r="M3" s="58">
        <v>2015</v>
      </c>
      <c r="N3" s="58">
        <v>2014</v>
      </c>
      <c r="O3" s="121">
        <v>2013</v>
      </c>
    </row>
    <row r="4" spans="1:15" ht="15.75" thickBot="1" x14ac:dyDescent="0.3">
      <c r="A4" s="16"/>
      <c r="B4" s="16"/>
      <c r="C4" s="201" t="s">
        <v>4</v>
      </c>
      <c r="D4" s="276" t="s">
        <v>4</v>
      </c>
      <c r="E4" s="260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59" t="s">
        <v>5</v>
      </c>
      <c r="O4" s="122" t="s">
        <v>5</v>
      </c>
    </row>
    <row r="5" spans="1:15" x14ac:dyDescent="0.25">
      <c r="A5" s="19"/>
      <c r="B5" s="20"/>
      <c r="C5" s="202"/>
      <c r="D5" s="277"/>
      <c r="E5" s="261"/>
      <c r="F5" s="237" t="s">
        <v>149</v>
      </c>
      <c r="G5" s="237"/>
      <c r="H5" s="20"/>
      <c r="I5" s="20"/>
      <c r="J5" s="20"/>
      <c r="K5" s="20"/>
      <c r="L5" s="20"/>
      <c r="M5" s="20"/>
      <c r="N5" s="20"/>
      <c r="O5" s="123"/>
    </row>
    <row r="6" spans="1:15" x14ac:dyDescent="0.25">
      <c r="A6" s="22" t="str">
        <f>"Rörelsens intäkter och lagerförändring"</f>
        <v>Rörelsens intäkter och lagerförändring</v>
      </c>
      <c r="B6" s="6"/>
      <c r="C6" s="203"/>
      <c r="D6" s="278"/>
      <c r="E6" s="262"/>
      <c r="F6" s="238"/>
      <c r="G6" s="238"/>
      <c r="H6" s="6"/>
      <c r="I6" s="6"/>
      <c r="J6" s="6"/>
      <c r="K6" s="6"/>
      <c r="L6" s="6"/>
      <c r="M6" s="6"/>
      <c r="N6" s="6"/>
      <c r="O6" s="124"/>
    </row>
    <row r="7" spans="1:15" x14ac:dyDescent="0.25">
      <c r="A7" s="22" t="str">
        <f>"Nettoomsättning"</f>
        <v>Nettoomsättning</v>
      </c>
      <c r="B7" s="6"/>
      <c r="C7" s="203"/>
      <c r="D7" s="278"/>
      <c r="E7" s="262"/>
      <c r="F7" s="238"/>
      <c r="G7" s="238"/>
      <c r="H7" s="6"/>
      <c r="I7" s="6"/>
      <c r="J7" s="6"/>
      <c r="K7" s="6"/>
      <c r="L7" s="6"/>
      <c r="M7" s="6"/>
      <c r="N7" s="6"/>
      <c r="O7" s="124"/>
    </row>
    <row r="8" spans="1:15" x14ac:dyDescent="0.25">
      <c r="A8" s="186" t="str">
        <f>"3110"</f>
        <v>3110</v>
      </c>
      <c r="B8" s="5" t="str">
        <f>"Medlemsavgifter"</f>
        <v>Medlemsavgifter</v>
      </c>
      <c r="C8" s="210">
        <v>23000</v>
      </c>
      <c r="D8" s="279">
        <v>26000</v>
      </c>
      <c r="E8" s="263">
        <v>21800</v>
      </c>
      <c r="F8" s="239">
        <f>-(D8-E8)</f>
        <v>-4200</v>
      </c>
      <c r="G8" s="239"/>
      <c r="H8" s="188">
        <v>24600</v>
      </c>
      <c r="I8" s="290">
        <v>88115</v>
      </c>
      <c r="J8" s="188">
        <v>83200</v>
      </c>
      <c r="K8" s="188">
        <v>95550</v>
      </c>
      <c r="L8" s="188">
        <v>94050</v>
      </c>
      <c r="M8" s="165">
        <v>92225</v>
      </c>
      <c r="N8" s="153">
        <v>91000</v>
      </c>
      <c r="O8" s="125">
        <v>83650</v>
      </c>
    </row>
    <row r="9" spans="1:15" x14ac:dyDescent="0.25">
      <c r="A9" s="186" t="s">
        <v>155</v>
      </c>
      <c r="B9" s="5" t="s">
        <v>156</v>
      </c>
      <c r="C9" s="210">
        <v>54000</v>
      </c>
      <c r="D9" s="279">
        <v>55000</v>
      </c>
      <c r="E9" s="263">
        <v>53500</v>
      </c>
      <c r="F9" s="239">
        <f>-(D9-E9)</f>
        <v>-1500</v>
      </c>
      <c r="G9" s="239"/>
      <c r="H9" s="188">
        <v>50300</v>
      </c>
      <c r="I9" s="290"/>
      <c r="J9" s="188"/>
      <c r="K9" s="188"/>
      <c r="L9" s="188"/>
      <c r="M9" s="165"/>
      <c r="N9" s="153"/>
      <c r="O9" s="125"/>
    </row>
    <row r="10" spans="1:15" x14ac:dyDescent="0.25">
      <c r="A10" s="186" t="str">
        <f>"3120"</f>
        <v>3120</v>
      </c>
      <c r="B10" s="5" t="str">
        <f>"Intäkter kanothyra"</f>
        <v>Intäkter kanothyra</v>
      </c>
      <c r="C10" s="210">
        <v>10000</v>
      </c>
      <c r="D10" s="279">
        <v>13000</v>
      </c>
      <c r="E10" s="263">
        <v>8900</v>
      </c>
      <c r="F10" s="239">
        <f t="shared" ref="F10:F33" si="0">-(D10-E10)</f>
        <v>-4100</v>
      </c>
      <c r="G10" s="239"/>
      <c r="H10" s="188">
        <v>11050</v>
      </c>
      <c r="I10" s="290">
        <v>20000</v>
      </c>
      <c r="J10" s="188">
        <v>14605</v>
      </c>
      <c r="K10" s="188">
        <v>24825</v>
      </c>
      <c r="L10" s="188">
        <v>15440</v>
      </c>
      <c r="M10" s="165">
        <v>13125</v>
      </c>
      <c r="N10" s="153">
        <v>17450</v>
      </c>
      <c r="O10" s="125">
        <v>13450</v>
      </c>
    </row>
    <row r="11" spans="1:15" x14ac:dyDescent="0.25">
      <c r="A11" s="186" t="str">
        <f>"3130"</f>
        <v>3130</v>
      </c>
      <c r="B11" s="5" t="str">
        <f>"Intäkter kanotplats"</f>
        <v>Intäkter kanotplats</v>
      </c>
      <c r="C11" s="210">
        <v>18300</v>
      </c>
      <c r="D11" s="279">
        <v>22000</v>
      </c>
      <c r="E11" s="263">
        <v>18300</v>
      </c>
      <c r="F11" s="239">
        <f t="shared" si="0"/>
        <v>-3700</v>
      </c>
      <c r="G11" s="239"/>
      <c r="H11" s="188">
        <v>20803.59</v>
      </c>
      <c r="I11" s="290">
        <v>19450</v>
      </c>
      <c r="J11" s="188">
        <v>22300</v>
      </c>
      <c r="K11" s="188">
        <v>21800</v>
      </c>
      <c r="L11" s="188">
        <v>24625</v>
      </c>
      <c r="M11" s="165">
        <v>23375</v>
      </c>
      <c r="N11" s="153">
        <v>17713</v>
      </c>
      <c r="O11" s="125">
        <v>18175</v>
      </c>
    </row>
    <row r="12" spans="1:15" x14ac:dyDescent="0.25">
      <c r="A12" s="186" t="str">
        <f>"3140"</f>
        <v>3140</v>
      </c>
      <c r="B12" s="5" t="s">
        <v>171</v>
      </c>
      <c r="C12" s="210">
        <v>70000</v>
      </c>
      <c r="D12" s="279">
        <v>50000</v>
      </c>
      <c r="E12" s="263">
        <v>66520</v>
      </c>
      <c r="F12" s="239">
        <f t="shared" si="0"/>
        <v>16520</v>
      </c>
      <c r="G12" s="239"/>
      <c r="H12" s="188">
        <v>61190</v>
      </c>
      <c r="I12" s="290">
        <v>28330</v>
      </c>
      <c r="J12" s="188">
        <v>13980</v>
      </c>
      <c r="K12" s="188">
        <v>19500</v>
      </c>
      <c r="L12" s="188">
        <v>17550</v>
      </c>
      <c r="M12" s="165">
        <v>25525</v>
      </c>
      <c r="N12" s="153">
        <v>35750</v>
      </c>
      <c r="O12" s="125">
        <v>24535</v>
      </c>
    </row>
    <row r="13" spans="1:15" x14ac:dyDescent="0.25">
      <c r="A13" s="186" t="str">
        <f>"3142"</f>
        <v>3142</v>
      </c>
      <c r="B13" s="5" t="str">
        <f>"Prova-på-paddling"</f>
        <v>Prova-på-paddling</v>
      </c>
      <c r="C13" s="210">
        <v>2000</v>
      </c>
      <c r="D13" s="279">
        <v>2000</v>
      </c>
      <c r="E13" s="263">
        <v>1700</v>
      </c>
      <c r="F13" s="239">
        <f t="shared" si="0"/>
        <v>-300</v>
      </c>
      <c r="G13" s="239"/>
      <c r="H13" s="188">
        <v>2100</v>
      </c>
      <c r="I13" s="290">
        <v>1300</v>
      </c>
      <c r="J13" s="188">
        <v>0</v>
      </c>
      <c r="K13" s="188">
        <v>10500</v>
      </c>
      <c r="L13" s="188">
        <v>13600</v>
      </c>
      <c r="M13" s="165">
        <v>12400</v>
      </c>
      <c r="N13" s="153">
        <v>18000</v>
      </c>
      <c r="O13" s="125">
        <v>7200</v>
      </c>
    </row>
    <row r="14" spans="1:15" x14ac:dyDescent="0.25">
      <c r="A14" s="186" t="s">
        <v>6</v>
      </c>
      <c r="B14" s="5" t="s">
        <v>7</v>
      </c>
      <c r="C14" s="210">
        <v>0</v>
      </c>
      <c r="D14" s="279">
        <v>0</v>
      </c>
      <c r="E14" s="263"/>
      <c r="F14" s="239">
        <f t="shared" si="0"/>
        <v>0</v>
      </c>
      <c r="G14" s="239"/>
      <c r="H14" s="188">
        <v>0</v>
      </c>
      <c r="I14" s="290">
        <v>2150</v>
      </c>
      <c r="J14" s="188">
        <v>5100</v>
      </c>
      <c r="K14" s="188">
        <v>4700</v>
      </c>
      <c r="L14" s="188">
        <v>16200</v>
      </c>
      <c r="M14" s="165">
        <v>6000</v>
      </c>
      <c r="N14" s="153">
        <v>3100</v>
      </c>
      <c r="O14" s="125">
        <v>7600</v>
      </c>
    </row>
    <row r="15" spans="1:15" x14ac:dyDescent="0.25">
      <c r="A15" s="186" t="str">
        <f>"3211"</f>
        <v>3211</v>
      </c>
      <c r="B15" s="5" t="str">
        <f>"Anmälningsavgifter"</f>
        <v>Anmälningsavgifter</v>
      </c>
      <c r="C15" s="210">
        <v>25000</v>
      </c>
      <c r="D15" s="279">
        <v>30000</v>
      </c>
      <c r="E15" s="263">
        <v>22800</v>
      </c>
      <c r="F15" s="255">
        <f t="shared" si="0"/>
        <v>-7200</v>
      </c>
      <c r="G15" s="239"/>
      <c r="H15" s="188">
        <v>14275</v>
      </c>
      <c r="I15" s="290">
        <v>29875</v>
      </c>
      <c r="J15" s="188">
        <v>11980</v>
      </c>
      <c r="K15" s="188">
        <v>7425</v>
      </c>
      <c r="L15" s="188">
        <v>7800</v>
      </c>
      <c r="M15" s="165">
        <v>6400</v>
      </c>
      <c r="N15" s="153">
        <v>12000</v>
      </c>
      <c r="O15" s="125">
        <v>13120</v>
      </c>
    </row>
    <row r="16" spans="1:15" x14ac:dyDescent="0.25">
      <c r="A16" s="186" t="str">
        <f>"3212"</f>
        <v>3212</v>
      </c>
      <c r="B16" s="5" t="str">
        <f>"Transportavgift"</f>
        <v>Transportavgift</v>
      </c>
      <c r="C16" s="210"/>
      <c r="D16" s="279"/>
      <c r="E16" s="263"/>
      <c r="F16" s="239">
        <f t="shared" si="0"/>
        <v>0</v>
      </c>
      <c r="G16" s="239"/>
      <c r="H16" s="188"/>
      <c r="I16" s="290"/>
      <c r="J16" s="188"/>
      <c r="K16" s="188"/>
      <c r="L16" s="188"/>
      <c r="M16" s="165">
        <v>400</v>
      </c>
      <c r="N16" s="153">
        <v>100</v>
      </c>
      <c r="O16" s="125">
        <v>1800</v>
      </c>
    </row>
    <row r="17" spans="1:18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36000</v>
      </c>
      <c r="D17" s="279">
        <v>30000</v>
      </c>
      <c r="E17" s="263">
        <v>34527</v>
      </c>
      <c r="F17" s="255">
        <f t="shared" si="0"/>
        <v>4527</v>
      </c>
      <c r="G17" s="239"/>
      <c r="H17" s="188">
        <v>7070</v>
      </c>
      <c r="I17" s="290">
        <v>42320</v>
      </c>
      <c r="J17" s="188">
        <v>46140</v>
      </c>
      <c r="K17" s="188">
        <v>10126.75</v>
      </c>
      <c r="L17" s="188">
        <v>7635</v>
      </c>
      <c r="M17" s="165">
        <v>5390</v>
      </c>
      <c r="N17" s="153">
        <v>12555</v>
      </c>
      <c r="O17" s="125">
        <v>2400</v>
      </c>
    </row>
    <row r="18" spans="1:18" x14ac:dyDescent="0.25">
      <c r="A18" s="186" t="s">
        <v>172</v>
      </c>
      <c r="B18" s="5" t="s">
        <v>173</v>
      </c>
      <c r="C18" s="210"/>
      <c r="D18" s="279"/>
      <c r="E18" s="263">
        <v>3300</v>
      </c>
      <c r="F18" s="255">
        <f t="shared" si="0"/>
        <v>3300</v>
      </c>
      <c r="G18" s="239"/>
      <c r="H18" s="188"/>
      <c r="I18" s="290"/>
      <c r="J18" s="188"/>
      <c r="K18" s="188"/>
      <c r="L18" s="188"/>
      <c r="M18" s="165"/>
      <c r="N18" s="153"/>
      <c r="O18" s="125"/>
    </row>
    <row r="19" spans="1:18" x14ac:dyDescent="0.25">
      <c r="A19" s="186"/>
      <c r="B19" s="44"/>
      <c r="C19" s="211"/>
      <c r="D19" s="280"/>
      <c r="E19" s="264"/>
      <c r="F19" s="239">
        <f t="shared" si="0"/>
        <v>0</v>
      </c>
      <c r="G19" s="239"/>
      <c r="H19" s="188"/>
      <c r="I19" s="291"/>
      <c r="J19" s="196"/>
      <c r="K19" s="196"/>
      <c r="L19" s="196"/>
      <c r="M19" s="166"/>
      <c r="N19" s="153"/>
      <c r="O19" s="126"/>
    </row>
    <row r="20" spans="1:18" x14ac:dyDescent="0.25">
      <c r="A20" s="186" t="str">
        <f>"3221"</f>
        <v>3221</v>
      </c>
      <c r="B20" s="5" t="s">
        <v>122</v>
      </c>
      <c r="C20" s="210">
        <v>0</v>
      </c>
      <c r="D20" s="279">
        <v>0</v>
      </c>
      <c r="E20" s="263"/>
      <c r="F20" s="239">
        <f t="shared" si="0"/>
        <v>0</v>
      </c>
      <c r="G20" s="239"/>
      <c r="H20" s="188">
        <v>0</v>
      </c>
      <c r="I20" s="290">
        <v>9750</v>
      </c>
      <c r="J20" s="188">
        <v>2200</v>
      </c>
      <c r="K20" s="188">
        <v>8900</v>
      </c>
      <c r="L20" s="188">
        <v>9850</v>
      </c>
      <c r="M20" s="165">
        <v>8200</v>
      </c>
      <c r="N20" s="153">
        <v>5450</v>
      </c>
      <c r="O20" s="125">
        <v>1650</v>
      </c>
    </row>
    <row r="21" spans="1:18" x14ac:dyDescent="0.25">
      <c r="A21" s="186" t="s">
        <v>11</v>
      </c>
      <c r="B21" s="5" t="s">
        <v>123</v>
      </c>
      <c r="C21" s="210"/>
      <c r="D21" s="279"/>
      <c r="E21" s="263"/>
      <c r="F21" s="239">
        <f t="shared" si="0"/>
        <v>0</v>
      </c>
      <c r="G21" s="239"/>
      <c r="H21" s="188"/>
      <c r="I21" s="290"/>
      <c r="J21" s="188"/>
      <c r="K21" s="188"/>
      <c r="L21" s="188"/>
      <c r="M21" s="165"/>
      <c r="N21" s="153"/>
      <c r="O21" s="125"/>
    </row>
    <row r="22" spans="1:18" x14ac:dyDescent="0.25">
      <c r="A22" s="186" t="str">
        <f>"3223"</f>
        <v>3223</v>
      </c>
      <c r="B22" s="5" t="str">
        <f>"Intäkter SM läger"</f>
        <v>Intäkter SM läger</v>
      </c>
      <c r="C22" s="210">
        <v>50000</v>
      </c>
      <c r="D22" s="279">
        <v>0</v>
      </c>
      <c r="E22" s="263"/>
      <c r="F22" s="255">
        <f t="shared" si="0"/>
        <v>0</v>
      </c>
      <c r="G22" s="239"/>
      <c r="H22" s="188">
        <v>0</v>
      </c>
      <c r="I22" s="290">
        <v>46850</v>
      </c>
      <c r="J22" s="188">
        <v>22540</v>
      </c>
      <c r="K22" s="188">
        <v>22500</v>
      </c>
      <c r="L22" s="188">
        <v>17100</v>
      </c>
      <c r="M22" s="165">
        <v>18000</v>
      </c>
      <c r="N22" s="153">
        <v>7500</v>
      </c>
      <c r="O22" s="125">
        <v>8400</v>
      </c>
    </row>
    <row r="23" spans="1:18" x14ac:dyDescent="0.25">
      <c r="A23" s="186" t="s">
        <v>13</v>
      </c>
      <c r="B23" s="5" t="s">
        <v>157</v>
      </c>
      <c r="C23" s="210">
        <v>0</v>
      </c>
      <c r="D23" s="279">
        <v>50000</v>
      </c>
      <c r="E23" s="263">
        <v>0</v>
      </c>
      <c r="F23" s="255">
        <f t="shared" si="0"/>
        <v>-50000</v>
      </c>
      <c r="G23" s="239"/>
      <c r="H23" s="188">
        <v>0</v>
      </c>
      <c r="I23" s="290">
        <v>60814</v>
      </c>
      <c r="J23" s="188">
        <v>24271</v>
      </c>
      <c r="K23" s="188">
        <v>4052</v>
      </c>
      <c r="L23" s="188"/>
      <c r="M23" s="165">
        <v>5434</v>
      </c>
      <c r="N23" s="153">
        <v>11030</v>
      </c>
      <c r="O23" s="125">
        <v>13415.5</v>
      </c>
    </row>
    <row r="24" spans="1:18" x14ac:dyDescent="0.25">
      <c r="A24" s="186" t="s">
        <v>130</v>
      </c>
      <c r="B24" s="5" t="s">
        <v>131</v>
      </c>
      <c r="C24" s="210">
        <v>0</v>
      </c>
      <c r="D24" s="279">
        <v>8000</v>
      </c>
      <c r="E24" s="263">
        <v>0</v>
      </c>
      <c r="F24" s="255">
        <f t="shared" si="0"/>
        <v>-8000</v>
      </c>
      <c r="G24" s="239"/>
      <c r="H24" s="188">
        <v>8250</v>
      </c>
      <c r="I24" s="290">
        <v>7247</v>
      </c>
      <c r="J24" s="188">
        <v>7248</v>
      </c>
      <c r="K24" s="188">
        <v>0</v>
      </c>
      <c r="L24" s="188"/>
      <c r="M24" s="165"/>
      <c r="N24" s="153"/>
      <c r="O24" s="125"/>
    </row>
    <row r="25" spans="1:18" x14ac:dyDescent="0.25">
      <c r="A25" s="186" t="s">
        <v>158</v>
      </c>
      <c r="B25" s="5" t="s">
        <v>159</v>
      </c>
      <c r="C25" s="210">
        <v>50000</v>
      </c>
      <c r="D25" s="279">
        <v>15000</v>
      </c>
      <c r="E25" s="263">
        <v>0</v>
      </c>
      <c r="F25" s="255">
        <f t="shared" si="0"/>
        <v>-15000</v>
      </c>
      <c r="G25" s="239"/>
      <c r="H25" s="188">
        <v>12699.5</v>
      </c>
      <c r="I25" s="290"/>
      <c r="J25" s="188"/>
      <c r="K25" s="188"/>
      <c r="L25" s="188"/>
      <c r="M25" s="165"/>
      <c r="N25" s="153"/>
      <c r="O25" s="125"/>
    </row>
    <row r="26" spans="1:18" x14ac:dyDescent="0.25">
      <c r="A26" s="186" t="str">
        <f>"3310"</f>
        <v>3310</v>
      </c>
      <c r="B26" s="5" t="s">
        <v>160</v>
      </c>
      <c r="C26" s="210">
        <v>3000</v>
      </c>
      <c r="D26" s="279">
        <v>3000</v>
      </c>
      <c r="E26" s="263">
        <v>2759</v>
      </c>
      <c r="F26" s="255">
        <f t="shared" si="0"/>
        <v>-241</v>
      </c>
      <c r="G26" s="239"/>
      <c r="H26" s="188">
        <v>3058</v>
      </c>
      <c r="I26" s="290">
        <v>3254</v>
      </c>
      <c r="J26" s="188">
        <v>2694</v>
      </c>
      <c r="K26" s="188">
        <v>3787</v>
      </c>
      <c r="L26" s="188">
        <v>910</v>
      </c>
      <c r="M26" s="165">
        <v>1092</v>
      </c>
      <c r="N26" s="153">
        <v>3943</v>
      </c>
      <c r="O26" s="125">
        <v>2388</v>
      </c>
    </row>
    <row r="27" spans="1:18" x14ac:dyDescent="0.25">
      <c r="A27" s="186" t="s">
        <v>15</v>
      </c>
      <c r="B27" s="5" t="s">
        <v>16</v>
      </c>
      <c r="C27" s="210"/>
      <c r="D27" s="279"/>
      <c r="E27" s="263"/>
      <c r="F27" s="239">
        <f t="shared" si="0"/>
        <v>0</v>
      </c>
      <c r="G27" s="239"/>
      <c r="H27" s="188"/>
      <c r="I27" s="290"/>
      <c r="J27" s="188"/>
      <c r="K27" s="188"/>
      <c r="L27" s="188"/>
      <c r="M27" s="165"/>
      <c r="N27" s="153"/>
      <c r="O27" s="125"/>
    </row>
    <row r="28" spans="1:18" x14ac:dyDescent="0.25">
      <c r="A28" s="186" t="str">
        <f>"3420"</f>
        <v>3420</v>
      </c>
      <c r="B28" s="5" t="str">
        <f>"Intäkter Sponsorer"</f>
        <v>Intäkter Sponsorer</v>
      </c>
      <c r="C28" s="210">
        <v>45000</v>
      </c>
      <c r="D28" s="279">
        <v>40000</v>
      </c>
      <c r="E28" s="263">
        <v>44500</v>
      </c>
      <c r="F28" s="239">
        <f t="shared" si="0"/>
        <v>4500</v>
      </c>
      <c r="G28" s="239"/>
      <c r="H28" s="188">
        <v>40500</v>
      </c>
      <c r="I28" s="290">
        <v>39000</v>
      </c>
      <c r="J28" s="188">
        <v>38500</v>
      </c>
      <c r="K28" s="188">
        <v>49385</v>
      </c>
      <c r="L28" s="188">
        <v>37000</v>
      </c>
      <c r="M28" s="165">
        <v>54000</v>
      </c>
      <c r="N28" s="153">
        <v>62570</v>
      </c>
      <c r="O28" s="125">
        <v>41400</v>
      </c>
      <c r="Q28" s="4"/>
      <c r="R28" s="4"/>
    </row>
    <row r="29" spans="1:18" x14ac:dyDescent="0.25">
      <c r="A29" s="186" t="str">
        <f>"3421"</f>
        <v>3421</v>
      </c>
      <c r="B29" s="5" t="s">
        <v>161</v>
      </c>
      <c r="C29" s="210">
        <v>30000</v>
      </c>
      <c r="D29" s="279">
        <v>30000</v>
      </c>
      <c r="E29" s="263">
        <v>30000</v>
      </c>
      <c r="F29" s="255">
        <f t="shared" si="0"/>
        <v>0</v>
      </c>
      <c r="G29" s="239"/>
      <c r="H29" s="188">
        <v>30000</v>
      </c>
      <c r="I29" s="290">
        <v>30000</v>
      </c>
      <c r="J29" s="188">
        <v>62500</v>
      </c>
      <c r="K29" s="188">
        <v>24000</v>
      </c>
      <c r="L29" s="188">
        <v>93000</v>
      </c>
      <c r="M29" s="165">
        <v>28000</v>
      </c>
      <c r="N29" s="153">
        <v>73000</v>
      </c>
      <c r="O29" s="125">
        <v>28000</v>
      </c>
    </row>
    <row r="30" spans="1:18" x14ac:dyDescent="0.25">
      <c r="A30" s="186" t="s">
        <v>18</v>
      </c>
      <c r="B30" s="5" t="s">
        <v>19</v>
      </c>
      <c r="C30" s="210">
        <v>0</v>
      </c>
      <c r="D30" s="279">
        <v>0</v>
      </c>
      <c r="E30" s="263"/>
      <c r="F30" s="255">
        <f t="shared" si="0"/>
        <v>0</v>
      </c>
      <c r="G30" s="239"/>
      <c r="H30" s="188">
        <v>0</v>
      </c>
      <c r="I30" s="290">
        <v>51248</v>
      </c>
      <c r="J30" s="188">
        <v>35000</v>
      </c>
      <c r="K30" s="188">
        <v>29500</v>
      </c>
      <c r="L30" s="188">
        <v>27000</v>
      </c>
      <c r="M30" s="165">
        <v>28775.33</v>
      </c>
      <c r="N30" s="153">
        <v>26179</v>
      </c>
      <c r="O30" s="125">
        <v>50350</v>
      </c>
    </row>
    <row r="31" spans="1:18" x14ac:dyDescent="0.25">
      <c r="A31" s="186" t="str">
        <f>"3430"</f>
        <v>3430</v>
      </c>
      <c r="B31" s="5" t="str">
        <f>"Intäkter föräldrarföreningen"</f>
        <v>Intäkter föräldrarföreningen</v>
      </c>
      <c r="C31" s="210">
        <v>0</v>
      </c>
      <c r="D31" s="279">
        <v>0</v>
      </c>
      <c r="E31" s="263"/>
      <c r="F31" s="239">
        <f t="shared" si="0"/>
        <v>0</v>
      </c>
      <c r="G31" s="239"/>
      <c r="H31" s="188">
        <v>0</v>
      </c>
      <c r="I31" s="290">
        <v>30693</v>
      </c>
      <c r="J31" s="188"/>
      <c r="K31" s="188"/>
      <c r="L31" s="188"/>
      <c r="M31" s="165"/>
      <c r="N31" s="153"/>
      <c r="O31" s="127"/>
    </row>
    <row r="32" spans="1:18" x14ac:dyDescent="0.25">
      <c r="A32" s="186" t="str">
        <f>"3520"</f>
        <v>3520</v>
      </c>
      <c r="B32" s="5" t="str">
        <f>"Intäkter Kanotförsäkring"</f>
        <v>Intäkter Kanotförsäkring</v>
      </c>
      <c r="C32" s="210"/>
      <c r="D32" s="279"/>
      <c r="E32" s="263"/>
      <c r="F32" s="239">
        <f t="shared" si="0"/>
        <v>0</v>
      </c>
      <c r="G32" s="239"/>
      <c r="H32" s="188"/>
      <c r="I32" s="290"/>
      <c r="J32" s="188"/>
      <c r="K32" s="188"/>
      <c r="L32" s="188">
        <v>430</v>
      </c>
      <c r="M32" s="165">
        <v>2100</v>
      </c>
      <c r="N32" s="153">
        <v>3458</v>
      </c>
      <c r="O32" s="127">
        <v>3830</v>
      </c>
    </row>
    <row r="33" spans="1:19" x14ac:dyDescent="0.25">
      <c r="A33" s="186" t="s">
        <v>95</v>
      </c>
      <c r="B33" s="5" t="s">
        <v>150</v>
      </c>
      <c r="C33" s="210">
        <v>50000</v>
      </c>
      <c r="D33" s="279">
        <v>5000</v>
      </c>
      <c r="E33" s="263">
        <v>87517</v>
      </c>
      <c r="F33" s="239">
        <f t="shared" si="0"/>
        <v>82517</v>
      </c>
      <c r="G33" s="239"/>
      <c r="H33" s="188">
        <v>4559</v>
      </c>
      <c r="I33" s="290">
        <v>17369</v>
      </c>
      <c r="J33" s="188"/>
      <c r="K33" s="188"/>
      <c r="L33" s="188"/>
      <c r="M33" s="165"/>
      <c r="N33" s="153"/>
      <c r="O33" s="127"/>
    </row>
    <row r="34" spans="1:19" x14ac:dyDescent="0.25">
      <c r="A34" s="186" t="s">
        <v>133</v>
      </c>
      <c r="B34" s="5" t="s">
        <v>134</v>
      </c>
      <c r="C34" s="210"/>
      <c r="D34" s="279"/>
      <c r="E34" s="263"/>
      <c r="F34" s="239"/>
      <c r="G34" s="239"/>
      <c r="H34" s="188"/>
      <c r="I34" s="290"/>
      <c r="J34" s="188"/>
      <c r="K34" s="188">
        <v>1200</v>
      </c>
      <c r="L34" s="188"/>
      <c r="M34" s="165"/>
      <c r="N34" s="153"/>
      <c r="O34" s="127"/>
    </row>
    <row r="35" spans="1:19" x14ac:dyDescent="0.25">
      <c r="A35" s="186" t="s">
        <v>20</v>
      </c>
      <c r="B35" s="5" t="s">
        <v>21</v>
      </c>
      <c r="C35" s="210"/>
      <c r="D35" s="279"/>
      <c r="E35" s="263"/>
      <c r="F35" s="239">
        <f>-(D35-E35)</f>
        <v>0</v>
      </c>
      <c r="G35" s="239"/>
      <c r="H35" s="188"/>
      <c r="I35" s="290"/>
      <c r="J35" s="188"/>
      <c r="K35" s="188"/>
      <c r="L35" s="188"/>
      <c r="M35" s="165"/>
      <c r="N35" s="153">
        <v>61624</v>
      </c>
      <c r="O35" s="127"/>
    </row>
    <row r="36" spans="1:19" x14ac:dyDescent="0.25">
      <c r="A36" s="186" t="str">
        <f>"3710"</f>
        <v>3710</v>
      </c>
      <c r="B36" s="5" t="str">
        <f>"Kommunala bidrag"</f>
        <v>Kommunala bidrag</v>
      </c>
      <c r="C36" s="210">
        <v>80000</v>
      </c>
      <c r="D36" s="279">
        <v>95000</v>
      </c>
      <c r="E36" s="263">
        <v>75387</v>
      </c>
      <c r="F36" s="255">
        <f>-(D36-E36)</f>
        <v>-19613</v>
      </c>
      <c r="G36" s="239"/>
      <c r="H36" s="188">
        <v>93899</v>
      </c>
      <c r="I36" s="290">
        <v>76399</v>
      </c>
      <c r="J36" s="188">
        <v>53067</v>
      </c>
      <c r="K36" s="188">
        <v>71801</v>
      </c>
      <c r="L36" s="188">
        <v>51130</v>
      </c>
      <c r="M36" s="165">
        <v>54852</v>
      </c>
      <c r="N36" s="153">
        <v>52860</v>
      </c>
      <c r="O36" s="127">
        <v>51090</v>
      </c>
    </row>
    <row r="37" spans="1:19" x14ac:dyDescent="0.25">
      <c r="A37" s="186" t="s">
        <v>162</v>
      </c>
      <c r="B37" s="5" t="s">
        <v>163</v>
      </c>
      <c r="C37" s="210">
        <v>0</v>
      </c>
      <c r="D37" s="279"/>
      <c r="E37" s="263">
        <v>24019</v>
      </c>
      <c r="F37" s="255">
        <f>-(D37-E37)</f>
        <v>24019</v>
      </c>
      <c r="G37" s="239"/>
      <c r="H37" s="188">
        <v>82060</v>
      </c>
      <c r="I37" s="290"/>
      <c r="J37" s="188"/>
      <c r="K37" s="188"/>
      <c r="L37" s="188"/>
      <c r="M37" s="165"/>
      <c r="N37" s="153"/>
      <c r="O37" s="127"/>
    </row>
    <row r="38" spans="1:19" x14ac:dyDescent="0.25">
      <c r="A38" s="186" t="str">
        <f>"3730"</f>
        <v>3730</v>
      </c>
      <c r="B38" s="5" t="str">
        <f>"LOK-stöd Riksidrottsförbundet"</f>
        <v>LOK-stöd Riksidrottsförbundet</v>
      </c>
      <c r="C38" s="210">
        <v>55000</v>
      </c>
      <c r="D38" s="279">
        <v>55000</v>
      </c>
      <c r="E38" s="263">
        <v>32728.05</v>
      </c>
      <c r="F38" s="255">
        <f>-(D38-E38)</f>
        <v>-22271.95</v>
      </c>
      <c r="G38" s="239"/>
      <c r="H38" s="188">
        <v>53929.18</v>
      </c>
      <c r="I38" s="290">
        <v>40855.599999999999</v>
      </c>
      <c r="J38" s="188">
        <v>48410.75</v>
      </c>
      <c r="K38" s="188">
        <v>54186</v>
      </c>
      <c r="L38" s="188">
        <v>40408</v>
      </c>
      <c r="M38" s="165">
        <v>36836</v>
      </c>
      <c r="N38" s="153">
        <v>33824</v>
      </c>
      <c r="O38" s="127">
        <v>39430</v>
      </c>
    </row>
    <row r="39" spans="1:19" x14ac:dyDescent="0.25">
      <c r="A39" s="186" t="s">
        <v>135</v>
      </c>
      <c r="B39" s="5" t="s">
        <v>136</v>
      </c>
      <c r="C39" s="210">
        <v>0</v>
      </c>
      <c r="D39" s="279">
        <v>10000</v>
      </c>
      <c r="E39" s="263">
        <v>9529</v>
      </c>
      <c r="F39" s="255">
        <f>-(D39-E39)</f>
        <v>-471</v>
      </c>
      <c r="G39" s="239"/>
      <c r="H39" s="188">
        <v>0</v>
      </c>
      <c r="I39" s="290">
        <v>0</v>
      </c>
      <c r="J39" s="188"/>
      <c r="K39" s="188">
        <v>108000</v>
      </c>
      <c r="L39" s="188"/>
      <c r="M39" s="165"/>
      <c r="N39" s="153"/>
      <c r="O39" s="127"/>
    </row>
    <row r="40" spans="1:19" x14ac:dyDescent="0.25">
      <c r="A40" s="186" t="str">
        <f>"3790"</f>
        <v>3790</v>
      </c>
      <c r="B40" s="5" t="s">
        <v>174</v>
      </c>
      <c r="C40" s="210">
        <v>0</v>
      </c>
      <c r="D40" s="279"/>
      <c r="E40" s="263">
        <v>5000</v>
      </c>
      <c r="F40" s="255">
        <f t="shared" ref="F40:F42" si="1">-(D40-E40)</f>
        <v>5000</v>
      </c>
      <c r="G40" s="239"/>
      <c r="H40" s="188"/>
      <c r="I40" s="290"/>
      <c r="J40" s="188"/>
      <c r="K40" s="188"/>
      <c r="L40" s="188"/>
      <c r="M40" s="165"/>
      <c r="N40" s="153"/>
      <c r="O40" s="127"/>
      <c r="S40" s="4"/>
    </row>
    <row r="41" spans="1:19" x14ac:dyDescent="0.25">
      <c r="A41" s="26"/>
      <c r="B41" s="6"/>
      <c r="C41" s="210"/>
      <c r="D41" s="279"/>
      <c r="E41" s="263"/>
      <c r="F41" s="255"/>
      <c r="G41" s="239"/>
      <c r="H41" s="188"/>
      <c r="I41" s="290"/>
      <c r="J41" s="188"/>
      <c r="K41" s="188"/>
      <c r="L41" s="188"/>
      <c r="M41" s="165"/>
      <c r="N41" s="153"/>
      <c r="O41" s="127"/>
    </row>
    <row r="42" spans="1:19" s="1" customFormat="1" ht="15.75" thickBot="1" x14ac:dyDescent="0.3">
      <c r="A42" s="27" t="str">
        <f>"S:a Nettoomsättning"</f>
        <v>S:a Nettoomsättning</v>
      </c>
      <c r="B42" s="14"/>
      <c r="C42" s="209">
        <f>SUM(C8:C40)</f>
        <v>601300</v>
      </c>
      <c r="D42" s="281">
        <v>539000</v>
      </c>
      <c r="E42" s="265">
        <f>SUM(E8:E41)</f>
        <v>542786.05000000005</v>
      </c>
      <c r="F42" s="292">
        <f t="shared" si="1"/>
        <v>3786.0500000000466</v>
      </c>
      <c r="G42" s="240"/>
      <c r="H42" s="189">
        <v>520343.26999999996</v>
      </c>
      <c r="I42" s="292">
        <f>SUM(I8:I41)</f>
        <v>645019.6</v>
      </c>
      <c r="J42" s="189">
        <f>SUM(J8:J41)</f>
        <v>493735.75</v>
      </c>
      <c r="K42" s="189">
        <f>SUM(K8:K41)</f>
        <v>571737.75</v>
      </c>
      <c r="L42" s="189">
        <f>SUM(L8:L41)</f>
        <v>473728</v>
      </c>
      <c r="M42" s="167">
        <f>SUM(M8:M40)</f>
        <v>422129.33</v>
      </c>
      <c r="N42" s="154">
        <f>SUM(N8:N40)</f>
        <v>549106</v>
      </c>
      <c r="O42" s="119">
        <f>SUM(O8:O40)</f>
        <v>411883.5</v>
      </c>
      <c r="S42" s="120"/>
    </row>
    <row r="43" spans="1:19" x14ac:dyDescent="0.25">
      <c r="A43" s="19"/>
      <c r="B43" s="20"/>
      <c r="C43" s="205"/>
      <c r="D43" s="282"/>
      <c r="E43" s="266"/>
      <c r="F43" s="241"/>
      <c r="G43" s="241"/>
      <c r="H43" s="190"/>
      <c r="I43" s="293"/>
      <c r="J43" s="190"/>
      <c r="K43" s="190"/>
      <c r="L43" s="190"/>
      <c r="M43" s="168"/>
      <c r="N43" s="155"/>
      <c r="O43" s="128"/>
    </row>
    <row r="44" spans="1:19" x14ac:dyDescent="0.25">
      <c r="A44" s="22" t="str">
        <f>"Aktiverat arbete för egen räkning"</f>
        <v>Aktiverat arbete för egen räkning</v>
      </c>
      <c r="B44" s="6"/>
      <c r="C44" s="203"/>
      <c r="D44" s="278"/>
      <c r="E44" s="263"/>
      <c r="F44" s="239"/>
      <c r="G44" s="239"/>
      <c r="H44" s="188"/>
      <c r="I44" s="290"/>
      <c r="J44" s="188"/>
      <c r="K44" s="188"/>
      <c r="L44" s="188"/>
      <c r="M44" s="6"/>
      <c r="N44" s="153"/>
      <c r="O44" s="129"/>
    </row>
    <row r="45" spans="1:19" x14ac:dyDescent="0.25">
      <c r="A45" s="186" t="str">
        <f>"3813"</f>
        <v>3813</v>
      </c>
      <c r="B45" s="5" t="s">
        <v>27</v>
      </c>
      <c r="C45" s="210">
        <v>0</v>
      </c>
      <c r="D45" s="279">
        <v>0</v>
      </c>
      <c r="E45" s="263">
        <v>0</v>
      </c>
      <c r="F45" s="239"/>
      <c r="G45" s="239"/>
      <c r="H45" s="188">
        <v>0</v>
      </c>
      <c r="I45" s="290">
        <v>0</v>
      </c>
      <c r="J45" s="188">
        <v>0</v>
      </c>
      <c r="K45" s="188">
        <v>5500</v>
      </c>
      <c r="L45" s="188">
        <v>2000</v>
      </c>
      <c r="M45" s="153">
        <v>1000</v>
      </c>
      <c r="N45" s="153">
        <v>3350</v>
      </c>
      <c r="O45" s="127">
        <v>0</v>
      </c>
    </row>
    <row r="46" spans="1:19" x14ac:dyDescent="0.25">
      <c r="A46" s="187"/>
      <c r="B46" s="6"/>
      <c r="C46" s="210"/>
      <c r="D46" s="279"/>
      <c r="E46" s="263"/>
      <c r="F46" s="239"/>
      <c r="G46" s="239"/>
      <c r="H46" s="188"/>
      <c r="I46" s="290"/>
      <c r="J46" s="188"/>
      <c r="K46" s="188"/>
      <c r="L46" s="188"/>
      <c r="M46" s="6"/>
      <c r="N46" s="153"/>
      <c r="O46" s="129"/>
    </row>
    <row r="47" spans="1:19" s="1" customFormat="1" ht="15.75" thickBot="1" x14ac:dyDescent="0.3">
      <c r="A47" s="27" t="str">
        <f>"S:a Aktiverat arbete för egen räkning"</f>
        <v>S:a Aktiverat arbete för egen räkning</v>
      </c>
      <c r="B47" s="14"/>
      <c r="C47" s="212">
        <v>0</v>
      </c>
      <c r="D47" s="283">
        <v>0</v>
      </c>
      <c r="E47" s="265">
        <f>SUM(E45:E46)</f>
        <v>0</v>
      </c>
      <c r="F47" s="240"/>
      <c r="G47" s="240"/>
      <c r="H47" s="189">
        <v>0</v>
      </c>
      <c r="I47" s="292">
        <f>SUM(I45:I46)</f>
        <v>0</v>
      </c>
      <c r="J47" s="189">
        <f>SUM(J45:J46)</f>
        <v>0</v>
      </c>
      <c r="K47" s="189">
        <f>SUM(K45:K46)</f>
        <v>5500</v>
      </c>
      <c r="L47" s="189">
        <f>SUM(L45:L46)</f>
        <v>2000</v>
      </c>
      <c r="M47" s="109">
        <f>SUM(M45:M45)</f>
        <v>1000</v>
      </c>
      <c r="N47" s="109">
        <f>SUM(N45:N45)</f>
        <v>3350</v>
      </c>
      <c r="O47" s="119">
        <f>SUM(O45:O46)</f>
        <v>0</v>
      </c>
    </row>
    <row r="48" spans="1:19" x14ac:dyDescent="0.25">
      <c r="A48" s="19"/>
      <c r="B48" s="20"/>
      <c r="C48" s="205"/>
      <c r="D48" s="282"/>
      <c r="E48" s="266"/>
      <c r="F48" s="241"/>
      <c r="G48" s="241"/>
      <c r="H48" s="190"/>
      <c r="I48" s="293"/>
      <c r="J48" s="190"/>
      <c r="K48" s="190"/>
      <c r="L48" s="190"/>
      <c r="M48" s="168"/>
      <c r="N48" s="155"/>
      <c r="O48" s="128"/>
    </row>
    <row r="49" spans="1:67" x14ac:dyDescent="0.25">
      <c r="A49" s="22" t="str">
        <f>"Övriga rörelseintäkter"</f>
        <v>Övriga rörelseintäkter</v>
      </c>
      <c r="B49" s="6"/>
      <c r="C49" s="203"/>
      <c r="D49" s="278"/>
      <c r="E49" s="263"/>
      <c r="F49" s="239"/>
      <c r="G49" s="239"/>
      <c r="H49" s="188"/>
      <c r="I49" s="290"/>
      <c r="J49" s="188"/>
      <c r="K49" s="188"/>
      <c r="L49" s="188"/>
      <c r="M49" s="6"/>
      <c r="N49" s="153"/>
      <c r="O49" s="129"/>
    </row>
    <row r="50" spans="1:67" x14ac:dyDescent="0.25">
      <c r="A50" s="186" t="s">
        <v>137</v>
      </c>
      <c r="B50" s="6" t="s">
        <v>138</v>
      </c>
      <c r="C50" s="203">
        <v>0</v>
      </c>
      <c r="D50" s="278">
        <v>0</v>
      </c>
      <c r="E50" s="263">
        <v>0</v>
      </c>
      <c r="F50" s="239"/>
      <c r="G50" s="239"/>
      <c r="H50" s="188">
        <v>0</v>
      </c>
      <c r="I50" s="290">
        <v>0</v>
      </c>
      <c r="J50" s="188">
        <v>22000</v>
      </c>
      <c r="K50" s="188"/>
      <c r="L50" s="188"/>
      <c r="M50" s="6"/>
      <c r="N50" s="153"/>
      <c r="O50" s="129"/>
    </row>
    <row r="51" spans="1:67" x14ac:dyDescent="0.25">
      <c r="A51" s="186" t="str">
        <f>"3990"</f>
        <v>3990</v>
      </c>
      <c r="B51" s="5" t="str">
        <f>"Övr ersättn och intäkter"</f>
        <v>Övr ersättn och intäkter</v>
      </c>
      <c r="C51" s="210">
        <v>0</v>
      </c>
      <c r="D51" s="279">
        <v>0</v>
      </c>
      <c r="E51" s="263">
        <v>0</v>
      </c>
      <c r="F51" s="239"/>
      <c r="G51" s="239"/>
      <c r="H51" s="188">
        <v>0</v>
      </c>
      <c r="I51" s="290">
        <v>57992</v>
      </c>
      <c r="J51" s="188">
        <v>9363</v>
      </c>
      <c r="K51" s="188"/>
      <c r="L51" s="188"/>
      <c r="M51" s="169">
        <v>11103</v>
      </c>
      <c r="N51" s="153"/>
      <c r="O51" s="127"/>
    </row>
    <row r="52" spans="1:67" x14ac:dyDescent="0.25">
      <c r="A52" s="186" t="str">
        <f>"3992"</f>
        <v>3992</v>
      </c>
      <c r="B52" s="5" t="s">
        <v>28</v>
      </c>
      <c r="C52" s="210"/>
      <c r="D52" s="279"/>
      <c r="E52" s="263"/>
      <c r="F52" s="239"/>
      <c r="G52" s="239"/>
      <c r="H52" s="188"/>
      <c r="I52" s="290"/>
      <c r="J52" s="188"/>
      <c r="K52" s="188"/>
      <c r="L52" s="188"/>
      <c r="M52" s="169"/>
      <c r="N52" s="153"/>
      <c r="O52" s="127"/>
    </row>
    <row r="53" spans="1:67" x14ac:dyDescent="0.25">
      <c r="A53" s="187">
        <v>3680</v>
      </c>
      <c r="B53" s="6" t="s">
        <v>29</v>
      </c>
      <c r="C53" s="210"/>
      <c r="D53" s="279"/>
      <c r="E53" s="263"/>
      <c r="F53" s="239"/>
      <c r="G53" s="239"/>
      <c r="H53" s="188"/>
      <c r="I53" s="290"/>
      <c r="J53" s="188"/>
      <c r="K53" s="188"/>
      <c r="L53" s="188"/>
      <c r="M53" s="169"/>
      <c r="N53" s="153"/>
      <c r="O53" s="129"/>
    </row>
    <row r="54" spans="1:67" s="1" customFormat="1" ht="15.75" thickBot="1" x14ac:dyDescent="0.3">
      <c r="A54" s="27" t="str">
        <f>"S:a Övriga rörelseintäkter"</f>
        <v>S:a Övriga rörelseintäkter</v>
      </c>
      <c r="B54" s="14"/>
      <c r="C54" s="212">
        <v>0</v>
      </c>
      <c r="D54" s="283">
        <v>0</v>
      </c>
      <c r="E54" s="267">
        <f>SUM(E50:E53)</f>
        <v>0</v>
      </c>
      <c r="F54" s="240"/>
      <c r="G54" s="240"/>
      <c r="H54" s="189">
        <v>0</v>
      </c>
      <c r="I54" s="170">
        <f>SUM(I50:I53)</f>
        <v>57992</v>
      </c>
      <c r="J54" s="170">
        <f>SUM(J50:J53)</f>
        <v>31363</v>
      </c>
      <c r="K54" s="170">
        <f>SUM(K51:K53)</f>
        <v>0</v>
      </c>
      <c r="L54" s="170">
        <f>SUM(L51:L53)</f>
        <v>0</v>
      </c>
      <c r="M54" s="170">
        <f>SUM(M51:M53)</f>
        <v>11103</v>
      </c>
      <c r="N54" s="109">
        <f>SUM(N51:N53)</f>
        <v>0</v>
      </c>
      <c r="O54" s="119">
        <f>SUM(O51:O53)</f>
        <v>0</v>
      </c>
    </row>
    <row r="55" spans="1:67" x14ac:dyDescent="0.25">
      <c r="A55" s="19"/>
      <c r="B55" s="20"/>
      <c r="C55" s="205"/>
      <c r="D55" s="282"/>
      <c r="E55" s="266"/>
      <c r="F55" s="241"/>
      <c r="G55" s="241"/>
      <c r="H55" s="190"/>
      <c r="I55" s="293"/>
      <c r="J55" s="190"/>
      <c r="K55" s="190"/>
      <c r="L55" s="190"/>
      <c r="M55" s="168"/>
      <c r="N55" s="155"/>
      <c r="O55" s="128"/>
    </row>
    <row r="56" spans="1:67" x14ac:dyDescent="0.25">
      <c r="A56" s="26"/>
      <c r="B56" s="6"/>
      <c r="C56" s="203"/>
      <c r="D56" s="278"/>
      <c r="E56" s="263"/>
      <c r="F56" s="239"/>
      <c r="G56" s="239"/>
      <c r="H56" s="188"/>
      <c r="I56" s="290"/>
      <c r="J56" s="188"/>
      <c r="K56" s="188"/>
      <c r="L56" s="188"/>
      <c r="M56" s="6"/>
      <c r="N56" s="153"/>
      <c r="O56" s="129"/>
    </row>
    <row r="57" spans="1:67" s="2" customFormat="1" ht="15.75" thickBot="1" x14ac:dyDescent="0.3">
      <c r="A57" s="32" t="str">
        <f>"S:a Rörelseintäkter och lagerförändring"</f>
        <v>S:a Rörelseintäkter och lagerförändring</v>
      </c>
      <c r="B57" s="33"/>
      <c r="C57" s="147">
        <f>SUM(C42+C47+C54)</f>
        <v>601300</v>
      </c>
      <c r="D57" s="147">
        <v>539000</v>
      </c>
      <c r="E57" s="147">
        <f>E42+E47+E54</f>
        <v>542786.05000000005</v>
      </c>
      <c r="F57" s="242">
        <f>E57-D57</f>
        <v>3786.0500000000466</v>
      </c>
      <c r="G57" s="242"/>
      <c r="H57" s="163">
        <v>520343.26999999996</v>
      </c>
      <c r="I57" s="163">
        <f>I42+I47+I54</f>
        <v>703011.6</v>
      </c>
      <c r="J57" s="163">
        <f t="shared" ref="J57:O57" si="2">J42+J47+J54</f>
        <v>525098.75</v>
      </c>
      <c r="K57" s="163">
        <f t="shared" si="2"/>
        <v>577237.75</v>
      </c>
      <c r="L57" s="163">
        <f t="shared" si="2"/>
        <v>475728</v>
      </c>
      <c r="M57" s="147">
        <f t="shared" si="2"/>
        <v>434232.33</v>
      </c>
      <c r="N57" s="112">
        <f t="shared" si="2"/>
        <v>552456</v>
      </c>
      <c r="O57" s="111">
        <f t="shared" si="2"/>
        <v>411883.5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</row>
    <row r="58" spans="1:67" x14ac:dyDescent="0.25">
      <c r="A58" s="19"/>
      <c r="B58" s="20"/>
      <c r="C58" s="205"/>
      <c r="D58" s="282"/>
      <c r="E58" s="266"/>
      <c r="F58" s="241"/>
      <c r="G58" s="241"/>
      <c r="H58" s="190"/>
      <c r="I58" s="293"/>
      <c r="J58" s="190"/>
      <c r="K58" s="190"/>
      <c r="L58" s="190"/>
      <c r="M58" s="168"/>
      <c r="N58" s="155"/>
      <c r="O58" s="128"/>
    </row>
    <row r="59" spans="1:67" x14ac:dyDescent="0.25">
      <c r="A59" s="22" t="str">
        <f>"Rörelsens kostnader"</f>
        <v>Rörelsens kostnader</v>
      </c>
      <c r="B59" s="6"/>
      <c r="C59" s="203"/>
      <c r="D59" s="278"/>
      <c r="E59" s="263"/>
      <c r="F59" s="239"/>
      <c r="G59" s="239"/>
      <c r="H59" s="188"/>
      <c r="I59" s="290"/>
      <c r="J59" s="188"/>
      <c r="K59" s="188"/>
      <c r="L59" s="188"/>
      <c r="M59" s="6"/>
      <c r="N59" s="153"/>
      <c r="O59" s="129"/>
    </row>
    <row r="60" spans="1:67" x14ac:dyDescent="0.25">
      <c r="A60" s="22" t="str">
        <f>"Råvaror och förnödenheter mm"</f>
        <v>Råvaror och förnödenheter mm</v>
      </c>
      <c r="B60" s="6"/>
      <c r="C60" s="203"/>
      <c r="D60" s="278"/>
      <c r="E60" s="263"/>
      <c r="F60" s="239"/>
      <c r="G60" s="239"/>
      <c r="H60" s="188"/>
      <c r="I60" s="290"/>
      <c r="J60" s="188"/>
      <c r="K60" s="188"/>
      <c r="L60" s="188"/>
      <c r="M60" s="6"/>
      <c r="N60" s="153"/>
      <c r="O60" s="129"/>
    </row>
    <row r="61" spans="1:67" x14ac:dyDescent="0.25">
      <c r="A61" s="24" t="s">
        <v>139</v>
      </c>
      <c r="B61" s="5" t="s">
        <v>140</v>
      </c>
      <c r="C61" s="210">
        <v>0</v>
      </c>
      <c r="D61" s="279">
        <v>0</v>
      </c>
      <c r="E61" s="263"/>
      <c r="F61" s="239">
        <f t="shared" ref="F61:F70" si="3">-(D61-E61)</f>
        <v>0</v>
      </c>
      <c r="G61" s="239"/>
      <c r="H61" s="188">
        <v>0</v>
      </c>
      <c r="I61" s="290">
        <v>0</v>
      </c>
      <c r="J61" s="188">
        <v>-902.8</v>
      </c>
      <c r="K61" s="188"/>
      <c r="L61" s="188"/>
      <c r="M61" s="171"/>
      <c r="N61" s="153"/>
      <c r="O61" s="127"/>
    </row>
    <row r="62" spans="1:67" x14ac:dyDescent="0.25">
      <c r="A62" s="24" t="str">
        <f>"4011"</f>
        <v>4011</v>
      </c>
      <c r="B62" s="5" t="str">
        <f>"Anmälningsavgifter"</f>
        <v>Anmälningsavgifter</v>
      </c>
      <c r="C62" s="210">
        <v>-60000</v>
      </c>
      <c r="D62" s="279">
        <v>-60000</v>
      </c>
      <c r="E62" s="263">
        <v>-55430</v>
      </c>
      <c r="F62" s="239">
        <f t="shared" si="3"/>
        <v>4570</v>
      </c>
      <c r="G62" s="239"/>
      <c r="H62" s="188">
        <v>-21495</v>
      </c>
      <c r="I62" s="290">
        <v>-58541</v>
      </c>
      <c r="J62" s="188">
        <v>-47558</v>
      </c>
      <c r="K62" s="188">
        <v>-36647</v>
      </c>
      <c r="L62" s="188">
        <v>-32651</v>
      </c>
      <c r="M62" s="171">
        <v>-22460</v>
      </c>
      <c r="N62" s="153">
        <v>-38723</v>
      </c>
      <c r="O62" s="127">
        <v>-44933</v>
      </c>
    </row>
    <row r="63" spans="1:67" x14ac:dyDescent="0.25">
      <c r="A63" s="24" t="str">
        <f>"4012"</f>
        <v>4012</v>
      </c>
      <c r="B63" s="5" t="str">
        <f>"transportkostnader"</f>
        <v>transportkostnader</v>
      </c>
      <c r="C63" s="210">
        <v>0</v>
      </c>
      <c r="D63" s="279">
        <v>-10000</v>
      </c>
      <c r="E63" s="263"/>
      <c r="F63" s="255">
        <f t="shared" si="3"/>
        <v>10000</v>
      </c>
      <c r="G63" s="239"/>
      <c r="H63" s="188">
        <v>-2978</v>
      </c>
      <c r="I63" s="290">
        <v>-2860.91</v>
      </c>
      <c r="J63" s="188">
        <v>-5802</v>
      </c>
      <c r="K63" s="188"/>
      <c r="L63" s="188">
        <v>-4867</v>
      </c>
      <c r="M63" s="171">
        <v>-3587.5</v>
      </c>
      <c r="N63" s="153">
        <v>-3897.5</v>
      </c>
      <c r="O63" s="127">
        <v>-10378</v>
      </c>
    </row>
    <row r="64" spans="1:67" x14ac:dyDescent="0.25">
      <c r="A64" s="24" t="str">
        <f>"4013"</f>
        <v>4013</v>
      </c>
      <c r="B64" s="5" t="str">
        <f>"Kost och logi under tävlingar"</f>
        <v>Kost och logi under tävlingar</v>
      </c>
      <c r="C64" s="210">
        <v>-36000</v>
      </c>
      <c r="D64" s="279">
        <v>-30000</v>
      </c>
      <c r="E64" s="263">
        <v>-37100</v>
      </c>
      <c r="F64" s="239">
        <f t="shared" si="3"/>
        <v>-7100</v>
      </c>
      <c r="G64" s="239"/>
      <c r="H64" s="188">
        <v>-7400</v>
      </c>
      <c r="I64" s="290">
        <v>-39765.21</v>
      </c>
      <c r="J64" s="188">
        <v>-48567.06</v>
      </c>
      <c r="K64" s="188">
        <v>-14830</v>
      </c>
      <c r="L64" s="188">
        <v>-11800</v>
      </c>
      <c r="M64" s="171">
        <v>-5360</v>
      </c>
      <c r="N64" s="153">
        <v>-12490</v>
      </c>
      <c r="O64" s="127">
        <v>-3540</v>
      </c>
    </row>
    <row r="65" spans="1:15" x14ac:dyDescent="0.25">
      <c r="A65" s="24" t="str">
        <f>"4014"</f>
        <v>4014</v>
      </c>
      <c r="B65" s="5" t="str">
        <f>"Övriga tävlingskostnader"</f>
        <v>Övriga tävlingskostnader</v>
      </c>
      <c r="C65" s="210">
        <v>-1000</v>
      </c>
      <c r="D65" s="279">
        <v>-1000</v>
      </c>
      <c r="E65" s="263">
        <v>-700</v>
      </c>
      <c r="F65" s="239">
        <f t="shared" si="3"/>
        <v>300</v>
      </c>
      <c r="G65" s="239"/>
      <c r="H65" s="188">
        <v>-649</v>
      </c>
      <c r="I65" s="290"/>
      <c r="J65" s="188"/>
      <c r="K65" s="188"/>
      <c r="L65" s="188">
        <v>-3114</v>
      </c>
      <c r="M65" s="171"/>
      <c r="N65" s="153"/>
      <c r="O65" s="127"/>
    </row>
    <row r="66" spans="1:15" x14ac:dyDescent="0.25">
      <c r="A66" s="24" t="str">
        <f>"4020"</f>
        <v>4020</v>
      </c>
      <c r="B66" s="5" t="s">
        <v>175</v>
      </c>
      <c r="C66" s="210">
        <v>0</v>
      </c>
      <c r="D66" s="279">
        <v>-5000</v>
      </c>
      <c r="E66" s="263"/>
      <c r="F66" s="255">
        <f t="shared" si="3"/>
        <v>5000</v>
      </c>
      <c r="G66" s="239"/>
      <c r="H66" s="188">
        <v>0</v>
      </c>
      <c r="I66" s="290">
        <v>-19782.400000000001</v>
      </c>
      <c r="J66" s="188">
        <v>-1010</v>
      </c>
      <c r="K66" s="188">
        <v>-8635</v>
      </c>
      <c r="L66" s="188">
        <v>-8784</v>
      </c>
      <c r="M66" s="171">
        <v>-2060</v>
      </c>
      <c r="N66" s="153">
        <v>-1526</v>
      </c>
      <c r="O66" s="127">
        <v>-4627</v>
      </c>
    </row>
    <row r="67" spans="1:15" x14ac:dyDescent="0.25">
      <c r="A67" s="24" t="str">
        <f>"4021"</f>
        <v>4021</v>
      </c>
      <c r="B67" s="5" t="str">
        <f>"Anmälningsavgifter, Läger"</f>
        <v>Anmälningsavgifter, Läger</v>
      </c>
      <c r="C67" s="210">
        <v>-10000</v>
      </c>
      <c r="D67" s="279"/>
      <c r="E67" s="263">
        <v>-12800</v>
      </c>
      <c r="F67" s="239">
        <f t="shared" si="3"/>
        <v>-12800</v>
      </c>
      <c r="G67" s="239"/>
      <c r="H67" s="188"/>
      <c r="I67" s="290"/>
      <c r="J67" s="188"/>
      <c r="K67" s="188"/>
      <c r="L67" s="188"/>
      <c r="M67" s="171"/>
      <c r="N67" s="153"/>
      <c r="O67" s="127"/>
    </row>
    <row r="68" spans="1:15" x14ac:dyDescent="0.25">
      <c r="A68" s="24" t="str">
        <f>"4022"</f>
        <v>4022</v>
      </c>
      <c r="B68" s="5" t="str">
        <f>"Transportkostnader, Läger"</f>
        <v>Transportkostnader, Läger</v>
      </c>
      <c r="C68" s="210">
        <v>-1000</v>
      </c>
      <c r="D68" s="279"/>
      <c r="E68" s="263"/>
      <c r="F68" s="239">
        <f t="shared" si="3"/>
        <v>0</v>
      </c>
      <c r="G68" s="239"/>
      <c r="H68" s="188"/>
      <c r="I68" s="290"/>
      <c r="J68" s="188"/>
      <c r="K68" s="188"/>
      <c r="L68" s="188"/>
      <c r="M68" s="171"/>
      <c r="N68" s="153"/>
      <c r="O68" s="127"/>
    </row>
    <row r="69" spans="1:15" x14ac:dyDescent="0.25">
      <c r="A69" s="24" t="s">
        <v>30</v>
      </c>
      <c r="B69" s="5" t="s">
        <v>125</v>
      </c>
      <c r="C69" s="210">
        <v>0</v>
      </c>
      <c r="D69" s="279">
        <v>0</v>
      </c>
      <c r="E69" s="263"/>
      <c r="F69" s="239">
        <f t="shared" si="3"/>
        <v>0</v>
      </c>
      <c r="G69" s="239"/>
      <c r="H69" s="188">
        <v>0</v>
      </c>
      <c r="I69" s="290">
        <v>0</v>
      </c>
      <c r="J69" s="188">
        <v>-35531</v>
      </c>
      <c r="K69" s="188">
        <v>-40685</v>
      </c>
      <c r="L69" s="188"/>
      <c r="M69" s="171">
        <v>-1700</v>
      </c>
      <c r="N69" s="153"/>
      <c r="O69" s="127"/>
    </row>
    <row r="70" spans="1:15" x14ac:dyDescent="0.25">
      <c r="A70" s="24" t="str">
        <f>"4024"</f>
        <v>4024</v>
      </c>
      <c r="B70" s="5" t="str">
        <f>"SM läger"</f>
        <v>SM läger</v>
      </c>
      <c r="C70" s="210">
        <v>-75000</v>
      </c>
      <c r="D70" s="279">
        <v>-15000</v>
      </c>
      <c r="E70" s="263"/>
      <c r="F70" s="239">
        <f t="shared" si="3"/>
        <v>15000</v>
      </c>
      <c r="G70" s="239"/>
      <c r="H70" s="188">
        <v>0</v>
      </c>
      <c r="I70" s="290">
        <v>-72670.100000000006</v>
      </c>
      <c r="J70" s="188">
        <v>-45362.8</v>
      </c>
      <c r="K70" s="188">
        <v>-57295</v>
      </c>
      <c r="L70" s="188">
        <v>-43666</v>
      </c>
      <c r="M70" s="171">
        <v>-33695</v>
      </c>
      <c r="N70" s="153">
        <v>-16960</v>
      </c>
      <c r="O70" s="127">
        <v>-22174</v>
      </c>
    </row>
    <row r="71" spans="1:15" x14ac:dyDescent="0.25">
      <c r="A71" s="24" t="s">
        <v>153</v>
      </c>
      <c r="B71" s="5" t="s">
        <v>154</v>
      </c>
      <c r="C71" s="210">
        <v>-10000</v>
      </c>
      <c r="D71" s="279">
        <v>-10000</v>
      </c>
      <c r="E71" s="263">
        <v>-6991.85</v>
      </c>
      <c r="F71" s="239"/>
      <c r="G71" s="239"/>
      <c r="H71" s="188">
        <v>-2490</v>
      </c>
      <c r="I71" s="290">
        <v>-9939.5300000000007</v>
      </c>
      <c r="J71" s="188"/>
      <c r="K71" s="188"/>
      <c r="L71" s="188"/>
      <c r="M71" s="171"/>
      <c r="N71" s="153"/>
      <c r="O71" s="127"/>
    </row>
    <row r="72" spans="1:15" ht="15" customHeight="1" x14ac:dyDescent="0.25">
      <c r="A72" s="24" t="s">
        <v>32</v>
      </c>
      <c r="B72" s="5" t="s">
        <v>164</v>
      </c>
      <c r="C72" s="210">
        <v>-100000</v>
      </c>
      <c r="D72" s="279">
        <v>-100000</v>
      </c>
      <c r="E72" s="263">
        <v>-37785</v>
      </c>
      <c r="F72" s="239">
        <f t="shared" ref="F72:F86" si="4">-(D72-E72)</f>
        <v>62215</v>
      </c>
      <c r="G72" s="239"/>
      <c r="H72" s="188">
        <v>-23624</v>
      </c>
      <c r="I72" s="290">
        <v>-169881.18</v>
      </c>
      <c r="J72" s="188">
        <v>-66249.5</v>
      </c>
      <c r="K72" s="188">
        <v>-37771</v>
      </c>
      <c r="L72" s="188">
        <v>-35043</v>
      </c>
      <c r="M72" s="171">
        <v>-51908</v>
      </c>
      <c r="N72" s="153">
        <v>-68237</v>
      </c>
      <c r="O72" s="127">
        <v>-44493</v>
      </c>
    </row>
    <row r="73" spans="1:15" ht="15" customHeight="1" x14ac:dyDescent="0.25">
      <c r="A73" s="24" t="s">
        <v>165</v>
      </c>
      <c r="B73" s="5" t="s">
        <v>166</v>
      </c>
      <c r="C73" s="210">
        <v>-30000</v>
      </c>
      <c r="D73" s="279">
        <v>-30000</v>
      </c>
      <c r="E73" s="263"/>
      <c r="F73" s="239">
        <f t="shared" si="4"/>
        <v>30000</v>
      </c>
      <c r="G73" s="239"/>
      <c r="H73" s="188">
        <v>-25399</v>
      </c>
      <c r="I73" s="290"/>
      <c r="J73" s="188"/>
      <c r="K73" s="188"/>
      <c r="L73" s="188"/>
      <c r="M73" s="171"/>
      <c r="N73" s="153"/>
      <c r="O73" s="127"/>
    </row>
    <row r="74" spans="1:15" x14ac:dyDescent="0.25">
      <c r="A74" s="24" t="str">
        <f>"4110"</f>
        <v>4110</v>
      </c>
      <c r="B74" s="5" t="str">
        <f>"Kostnader Kanotskolan"</f>
        <v>Kostnader Kanotskolan</v>
      </c>
      <c r="C74" s="210">
        <v>-15000</v>
      </c>
      <c r="D74" s="279">
        <v>-10000</v>
      </c>
      <c r="E74" s="263">
        <v>-13495.75</v>
      </c>
      <c r="F74" s="255">
        <f t="shared" si="4"/>
        <v>-3495.75</v>
      </c>
      <c r="G74" s="239"/>
      <c r="H74" s="188">
        <v>-8149.49</v>
      </c>
      <c r="I74" s="290">
        <v>-9331.7900000000009</v>
      </c>
      <c r="J74" s="188">
        <v>-11894</v>
      </c>
      <c r="K74" s="188">
        <v>-20019</v>
      </c>
      <c r="L74" s="188">
        <v>-12819.4</v>
      </c>
      <c r="M74" s="171">
        <v>-14874</v>
      </c>
      <c r="N74" s="153">
        <v>-18212</v>
      </c>
      <c r="O74" s="127">
        <v>-8052</v>
      </c>
    </row>
    <row r="75" spans="1:15" x14ac:dyDescent="0.25">
      <c r="A75" s="24" t="s">
        <v>34</v>
      </c>
      <c r="B75" s="5" t="s">
        <v>141</v>
      </c>
      <c r="C75" s="210">
        <v>0</v>
      </c>
      <c r="D75" s="279">
        <v>0</v>
      </c>
      <c r="E75" s="263">
        <v>-3810</v>
      </c>
      <c r="F75" s="255">
        <f t="shared" si="4"/>
        <v>-3810</v>
      </c>
      <c r="G75" s="239"/>
      <c r="H75" s="188">
        <v>0</v>
      </c>
      <c r="I75" s="290">
        <v>0</v>
      </c>
      <c r="J75" s="188">
        <v>0</v>
      </c>
      <c r="K75" s="188">
        <v>-2800</v>
      </c>
      <c r="L75" s="188">
        <v>-3200</v>
      </c>
      <c r="M75" s="171">
        <v>-4100</v>
      </c>
      <c r="N75" s="153">
        <v>-10300</v>
      </c>
      <c r="O75" s="127">
        <v>-3600</v>
      </c>
    </row>
    <row r="76" spans="1:15" x14ac:dyDescent="0.25">
      <c r="A76" s="24" t="str">
        <f>"4120"</f>
        <v>4120</v>
      </c>
      <c r="B76" s="5" t="str">
        <f>"Kostnad ungdomsverksamhet"</f>
        <v>Kostnad ungdomsverksamhet</v>
      </c>
      <c r="C76" s="210">
        <v>-25000</v>
      </c>
      <c r="D76" s="279">
        <v>-25000</v>
      </c>
      <c r="E76" s="263">
        <v>-17921.63</v>
      </c>
      <c r="F76" s="255">
        <f t="shared" si="4"/>
        <v>7078.369999999999</v>
      </c>
      <c r="G76" s="239"/>
      <c r="H76" s="188">
        <v>-20147.099999999999</v>
      </c>
      <c r="I76" s="290">
        <v>-26262.38</v>
      </c>
      <c r="J76" s="188">
        <v>-14082</v>
      </c>
      <c r="K76" s="188">
        <v>-32802</v>
      </c>
      <c r="L76" s="188">
        <v>-20082.7</v>
      </c>
      <c r="M76" s="171">
        <v>-15443</v>
      </c>
      <c r="N76" s="153">
        <v>-10865</v>
      </c>
      <c r="O76" s="127">
        <v>-6599</v>
      </c>
    </row>
    <row r="77" spans="1:15" x14ac:dyDescent="0.25">
      <c r="A77" s="24" t="s">
        <v>142</v>
      </c>
      <c r="B77" s="5" t="s">
        <v>37</v>
      </c>
      <c r="C77" s="210">
        <v>-10000</v>
      </c>
      <c r="D77" s="279">
        <v>-15000</v>
      </c>
      <c r="E77" s="263"/>
      <c r="F77" s="239">
        <f t="shared" si="4"/>
        <v>15000</v>
      </c>
      <c r="G77" s="239"/>
      <c r="H77" s="188">
        <v>-10650</v>
      </c>
      <c r="I77" s="290">
        <v>0</v>
      </c>
      <c r="J77" s="188">
        <v>-14500</v>
      </c>
      <c r="K77" s="188">
        <v>-18859</v>
      </c>
      <c r="L77" s="188">
        <v>-10144</v>
      </c>
      <c r="M77" s="171"/>
      <c r="N77" s="153"/>
      <c r="O77" s="127"/>
    </row>
    <row r="78" spans="1:15" x14ac:dyDescent="0.25">
      <c r="A78" s="24" t="s">
        <v>143</v>
      </c>
      <c r="B78" s="5" t="s">
        <v>144</v>
      </c>
      <c r="C78" s="210">
        <v>0</v>
      </c>
      <c r="D78" s="279">
        <v>0</v>
      </c>
      <c r="F78" s="239">
        <f t="shared" si="4"/>
        <v>0</v>
      </c>
      <c r="G78" s="239"/>
      <c r="H78" s="188">
        <v>0</v>
      </c>
      <c r="I78" s="290">
        <v>-34934.9</v>
      </c>
      <c r="J78" s="188">
        <v>-8635</v>
      </c>
      <c r="K78" s="188"/>
      <c r="L78" s="188"/>
      <c r="M78" s="171"/>
      <c r="N78" s="153"/>
      <c r="O78" s="127"/>
    </row>
    <row r="79" spans="1:15" x14ac:dyDescent="0.25">
      <c r="A79" s="24" t="s">
        <v>167</v>
      </c>
      <c r="B79" s="5" t="s">
        <v>168</v>
      </c>
      <c r="C79" s="210">
        <v>-50000</v>
      </c>
      <c r="D79" s="279">
        <v>-9650</v>
      </c>
      <c r="E79" s="263">
        <v>-71464.100000000006</v>
      </c>
      <c r="F79" s="239">
        <f t="shared" si="4"/>
        <v>-61814.100000000006</v>
      </c>
      <c r="G79" s="239"/>
      <c r="H79" s="188">
        <v>-9650</v>
      </c>
      <c r="I79" s="290"/>
      <c r="J79" s="188"/>
      <c r="K79" s="188"/>
      <c r="L79" s="188"/>
      <c r="M79" s="171"/>
      <c r="N79" s="153"/>
      <c r="O79" s="127"/>
    </row>
    <row r="80" spans="1:15" x14ac:dyDescent="0.25">
      <c r="A80" s="24" t="s">
        <v>145</v>
      </c>
      <c r="B80" s="5" t="s">
        <v>146</v>
      </c>
      <c r="C80" s="210">
        <v>-9000</v>
      </c>
      <c r="D80" s="279">
        <v>-18000</v>
      </c>
      <c r="E80" s="263"/>
      <c r="F80" s="239">
        <f t="shared" si="4"/>
        <v>18000</v>
      </c>
      <c r="G80" s="239"/>
      <c r="H80" s="188">
        <v>-18000</v>
      </c>
      <c r="I80" s="290">
        <v>-14495</v>
      </c>
      <c r="J80" s="188">
        <v>-14495</v>
      </c>
      <c r="K80" s="188"/>
      <c r="L80" s="188"/>
      <c r="M80" s="171"/>
      <c r="N80" s="153"/>
      <c r="O80" s="127"/>
    </row>
    <row r="81" spans="1:20" x14ac:dyDescent="0.25">
      <c r="A81" s="24" t="str">
        <f>"4220"</f>
        <v>4220</v>
      </c>
      <c r="B81" s="5" t="s">
        <v>38</v>
      </c>
      <c r="C81" s="210">
        <v>-45000</v>
      </c>
      <c r="D81" s="279">
        <v>-43663</v>
      </c>
      <c r="E81" s="263">
        <v>-34105</v>
      </c>
      <c r="F81" s="255">
        <f t="shared" si="4"/>
        <v>9558</v>
      </c>
      <c r="G81" s="239"/>
      <c r="H81" s="188">
        <v>-43663</v>
      </c>
      <c r="I81" s="290">
        <v>-52093</v>
      </c>
      <c r="J81" s="188">
        <v>-114563</v>
      </c>
      <c r="K81" s="188">
        <v>-25146</v>
      </c>
      <c r="L81" s="188">
        <v>-155862.54999999999</v>
      </c>
      <c r="M81" s="171">
        <v>-117887.33</v>
      </c>
      <c r="N81" s="153">
        <v>-72611.98</v>
      </c>
      <c r="O81" s="127">
        <v>-83127</v>
      </c>
      <c r="P81" s="161"/>
      <c r="Q81" s="162"/>
      <c r="R81" s="162"/>
      <c r="S81" s="162"/>
      <c r="T81" s="4"/>
    </row>
    <row r="82" spans="1:20" x14ac:dyDescent="0.25">
      <c r="A82" s="24" t="s">
        <v>39</v>
      </c>
      <c r="B82" s="5" t="s">
        <v>40</v>
      </c>
      <c r="C82" s="210"/>
      <c r="D82" s="279"/>
      <c r="E82" s="263"/>
      <c r="F82" s="239">
        <f t="shared" si="4"/>
        <v>0</v>
      </c>
      <c r="G82" s="239"/>
      <c r="H82" s="188"/>
      <c r="I82" s="290"/>
      <c r="J82" s="188"/>
      <c r="K82" s="188">
        <v>-7600</v>
      </c>
      <c r="L82" s="188"/>
      <c r="M82" s="171">
        <v>-2000</v>
      </c>
      <c r="N82" s="153">
        <v>-16508</v>
      </c>
      <c r="O82" s="127">
        <v>-21032</v>
      </c>
    </row>
    <row r="83" spans="1:20" x14ac:dyDescent="0.25">
      <c r="A83" s="24" t="s">
        <v>41</v>
      </c>
      <c r="B83" s="5" t="s">
        <v>42</v>
      </c>
      <c r="C83" s="210"/>
      <c r="D83" s="279"/>
      <c r="E83" s="263"/>
      <c r="F83" s="239">
        <f t="shared" si="4"/>
        <v>0</v>
      </c>
      <c r="G83" s="239"/>
      <c r="H83" s="188"/>
      <c r="I83" s="290"/>
      <c r="J83" s="188"/>
      <c r="K83" s="188"/>
      <c r="L83" s="188"/>
      <c r="M83" s="171"/>
      <c r="N83" s="153">
        <v>-11300</v>
      </c>
      <c r="O83" s="127"/>
    </row>
    <row r="84" spans="1:20" x14ac:dyDescent="0.25">
      <c r="A84" s="24" t="str">
        <f>"4610"</f>
        <v>4610</v>
      </c>
      <c r="B84" s="5" t="str">
        <f>"Mötesverksamhet"</f>
        <v>Mötesverksamhet</v>
      </c>
      <c r="C84" s="210">
        <v>-2000</v>
      </c>
      <c r="D84" s="279">
        <v>-2000</v>
      </c>
      <c r="E84" s="263"/>
      <c r="F84" s="239">
        <f t="shared" si="4"/>
        <v>2000</v>
      </c>
      <c r="G84" s="239"/>
      <c r="H84" s="188">
        <v>-263.37</v>
      </c>
      <c r="I84" s="290">
        <v>-2832</v>
      </c>
      <c r="J84" s="188">
        <v>-7165.2</v>
      </c>
      <c r="K84" s="188">
        <v>-1182.45</v>
      </c>
      <c r="L84" s="188">
        <v>-4700</v>
      </c>
      <c r="M84" s="171">
        <v>-8029</v>
      </c>
      <c r="N84" s="153">
        <v>-663</v>
      </c>
      <c r="O84" s="127">
        <v>-223</v>
      </c>
    </row>
    <row r="85" spans="1:20" x14ac:dyDescent="0.25">
      <c r="A85" s="24" t="s">
        <v>43</v>
      </c>
      <c r="B85" s="5" t="s">
        <v>44</v>
      </c>
      <c r="C85" s="210"/>
      <c r="D85" s="279"/>
      <c r="E85" s="263"/>
      <c r="F85" s="239">
        <f t="shared" si="4"/>
        <v>0</v>
      </c>
      <c r="G85" s="239"/>
      <c r="H85" s="188"/>
      <c r="I85" s="290"/>
      <c r="J85" s="188"/>
      <c r="K85" s="188"/>
      <c r="L85" s="188"/>
      <c r="M85" s="171"/>
      <c r="N85" s="153"/>
      <c r="O85" s="127"/>
    </row>
    <row r="86" spans="1:20" x14ac:dyDescent="0.25">
      <c r="A86" s="24" t="str">
        <f>"4710"</f>
        <v>4710</v>
      </c>
      <c r="B86" s="5" t="str">
        <f>"Märken och priser"</f>
        <v>Märken och priser</v>
      </c>
      <c r="C86" s="210">
        <v>0</v>
      </c>
      <c r="D86" s="279">
        <v>0</v>
      </c>
      <c r="E86" s="263"/>
      <c r="F86" s="239">
        <f t="shared" si="4"/>
        <v>0</v>
      </c>
      <c r="G86" s="239"/>
      <c r="H86" s="188">
        <v>0</v>
      </c>
      <c r="I86" s="290">
        <v>-1268.8</v>
      </c>
      <c r="J86" s="188">
        <v>-6469</v>
      </c>
      <c r="K86" s="188">
        <v>-4401</v>
      </c>
      <c r="L86" s="188">
        <v>-4127</v>
      </c>
      <c r="M86" s="171">
        <v>-3630</v>
      </c>
      <c r="N86" s="153">
        <v>-3710</v>
      </c>
      <c r="O86" s="127">
        <v>-6310</v>
      </c>
    </row>
    <row r="87" spans="1:20" x14ac:dyDescent="0.25">
      <c r="A87" s="24" t="str">
        <f>"4800"</f>
        <v>4800</v>
      </c>
      <c r="B87" s="5" t="str">
        <f>"Medlemmarnas pengar"</f>
        <v>Medlemmarnas pengar</v>
      </c>
      <c r="C87" s="210"/>
      <c r="D87" s="279"/>
      <c r="E87" s="263"/>
      <c r="F87" s="239"/>
      <c r="G87" s="239"/>
      <c r="H87" s="188"/>
      <c r="I87" s="290"/>
      <c r="J87" s="188"/>
      <c r="K87" s="188"/>
      <c r="L87" s="188"/>
      <c r="M87" s="171"/>
      <c r="N87" s="153"/>
      <c r="O87" s="127"/>
    </row>
    <row r="88" spans="1:20" x14ac:dyDescent="0.25">
      <c r="A88" s="26"/>
      <c r="B88" s="6"/>
      <c r="C88" s="210"/>
      <c r="D88" s="279"/>
      <c r="E88" s="263"/>
      <c r="F88" s="239"/>
      <c r="G88" s="239"/>
      <c r="H88" s="188"/>
      <c r="I88" s="290"/>
      <c r="J88" s="188"/>
      <c r="K88" s="188"/>
      <c r="L88" s="188"/>
      <c r="M88" s="6"/>
      <c r="N88" s="153"/>
      <c r="O88" s="129"/>
    </row>
    <row r="89" spans="1:20" s="1" customFormat="1" ht="15.75" thickBot="1" x14ac:dyDescent="0.3">
      <c r="A89" s="27" t="str">
        <f>"S:a Råvaror och förnödenheter mm"</f>
        <v>S:a Råvaror och förnödenheter mm</v>
      </c>
      <c r="B89" s="14"/>
      <c r="C89" s="212">
        <f>SUM(C62:C87)</f>
        <v>-479000</v>
      </c>
      <c r="D89" s="283">
        <v>-384313</v>
      </c>
      <c r="E89" s="265">
        <f>SUM(E61:E87)</f>
        <v>-291603.33</v>
      </c>
      <c r="F89" s="240"/>
      <c r="G89" s="240"/>
      <c r="H89" s="189">
        <v>-194557.96</v>
      </c>
      <c r="I89" s="292">
        <f>SUM(I61:I87)</f>
        <v>-514658.19999999995</v>
      </c>
      <c r="J89" s="189">
        <f t="shared" ref="J89:O89" si="5">SUM(J61:J87)</f>
        <v>-442786.36</v>
      </c>
      <c r="K89" s="189">
        <f t="shared" si="5"/>
        <v>-308672.45</v>
      </c>
      <c r="L89" s="189">
        <f t="shared" si="5"/>
        <v>-350860.65</v>
      </c>
      <c r="M89" s="170">
        <f t="shared" si="5"/>
        <v>-286733.83</v>
      </c>
      <c r="N89" s="109">
        <f t="shared" si="5"/>
        <v>-286003.48</v>
      </c>
      <c r="O89" s="119">
        <f t="shared" si="5"/>
        <v>-259088</v>
      </c>
    </row>
    <row r="90" spans="1:20" x14ac:dyDescent="0.25">
      <c r="A90" s="19"/>
      <c r="B90" s="20"/>
      <c r="C90" s="205"/>
      <c r="D90" s="282"/>
      <c r="E90" s="266"/>
      <c r="F90" s="241"/>
      <c r="G90" s="241"/>
      <c r="H90" s="190"/>
      <c r="I90" s="293"/>
      <c r="J90" s="190"/>
      <c r="K90" s="190"/>
      <c r="L90" s="190"/>
      <c r="M90" s="168"/>
      <c r="N90" s="155"/>
      <c r="O90" s="128"/>
    </row>
    <row r="91" spans="1:20" x14ac:dyDescent="0.25">
      <c r="A91" s="26"/>
      <c r="B91" s="6"/>
      <c r="C91" s="203"/>
      <c r="D91" s="278"/>
      <c r="E91" s="263"/>
      <c r="F91" s="239"/>
      <c r="G91" s="239"/>
      <c r="H91" s="188"/>
      <c r="I91" s="290"/>
      <c r="J91" s="188"/>
      <c r="K91" s="188"/>
      <c r="L91" s="188"/>
      <c r="M91" s="6"/>
      <c r="N91" s="153"/>
      <c r="O91" s="129"/>
    </row>
    <row r="92" spans="1:20" s="1" customFormat="1" ht="15.75" thickBot="1" x14ac:dyDescent="0.3">
      <c r="A92" s="27" t="str">
        <f>"Bruttovinst"</f>
        <v>Bruttovinst</v>
      </c>
      <c r="B92" s="14"/>
      <c r="C92" s="212">
        <f>C57+C89</f>
        <v>122300</v>
      </c>
      <c r="D92" s="283">
        <v>154687</v>
      </c>
      <c r="E92" s="265">
        <f>E57+E89</f>
        <v>251182.72000000003</v>
      </c>
      <c r="F92" s="240"/>
      <c r="G92" s="240"/>
      <c r="H92" s="189">
        <v>325785.30999999994</v>
      </c>
      <c r="I92" s="292">
        <f>I57+I89</f>
        <v>188353.40000000002</v>
      </c>
      <c r="J92" s="189">
        <f t="shared" ref="J92:O92" si="6">J57+J89</f>
        <v>82312.390000000014</v>
      </c>
      <c r="K92" s="189">
        <f t="shared" si="6"/>
        <v>268565.3</v>
      </c>
      <c r="L92" s="189">
        <f t="shared" si="6"/>
        <v>124867.34999999998</v>
      </c>
      <c r="M92" s="167">
        <f t="shared" si="6"/>
        <v>147498.5</v>
      </c>
      <c r="N92" s="154">
        <f t="shared" si="6"/>
        <v>266452.52</v>
      </c>
      <c r="O92" s="119">
        <f t="shared" si="6"/>
        <v>152795.5</v>
      </c>
    </row>
    <row r="93" spans="1:20" x14ac:dyDescent="0.25">
      <c r="A93" s="19"/>
      <c r="B93" s="20"/>
      <c r="C93" s="205"/>
      <c r="D93" s="282"/>
      <c r="E93" s="266"/>
      <c r="F93" s="241"/>
      <c r="G93" s="241"/>
      <c r="H93" s="190"/>
      <c r="I93" s="293"/>
      <c r="J93" s="190"/>
      <c r="K93" s="190"/>
      <c r="L93" s="190"/>
      <c r="M93" s="168"/>
      <c r="N93" s="155"/>
      <c r="O93" s="128"/>
    </row>
    <row r="94" spans="1:20" x14ac:dyDescent="0.25">
      <c r="A94" s="22" t="str">
        <f>"Övriga externa kostnader"</f>
        <v>Övriga externa kostnader</v>
      </c>
      <c r="B94" s="6"/>
      <c r="C94" s="203"/>
      <c r="D94" s="278"/>
      <c r="E94" s="263"/>
      <c r="F94" s="239"/>
      <c r="G94" s="239"/>
      <c r="H94" s="188"/>
      <c r="I94" s="290"/>
      <c r="J94" s="188"/>
      <c r="K94" s="188"/>
      <c r="L94" s="188"/>
      <c r="M94" s="6"/>
      <c r="N94" s="153"/>
      <c r="O94" s="129"/>
    </row>
    <row r="95" spans="1:20" x14ac:dyDescent="0.25">
      <c r="A95" s="22"/>
      <c r="B95" s="192"/>
      <c r="C95" s="249"/>
      <c r="D95" s="285"/>
      <c r="E95" s="268"/>
      <c r="F95" s="252"/>
      <c r="G95" s="252"/>
      <c r="H95" s="251"/>
      <c r="I95" s="294"/>
      <c r="J95" s="251"/>
      <c r="K95" s="251"/>
      <c r="L95" s="251"/>
      <c r="M95" s="192"/>
      <c r="N95" s="253"/>
      <c r="O95" s="254"/>
    </row>
    <row r="96" spans="1:20" x14ac:dyDescent="0.25">
      <c r="A96" s="24" t="s">
        <v>176</v>
      </c>
      <c r="B96" s="5" t="s">
        <v>177</v>
      </c>
      <c r="C96" s="210"/>
      <c r="D96" s="279"/>
      <c r="E96" s="263">
        <v>-198</v>
      </c>
      <c r="F96" s="239"/>
      <c r="G96" s="239"/>
      <c r="H96" s="188"/>
      <c r="I96" s="290"/>
      <c r="J96" s="188"/>
      <c r="K96" s="188"/>
      <c r="L96" s="188"/>
      <c r="M96" s="171"/>
      <c r="N96" s="153"/>
      <c r="O96" s="127"/>
    </row>
    <row r="97" spans="1:15" x14ac:dyDescent="0.25">
      <c r="A97" s="24" t="s">
        <v>147</v>
      </c>
      <c r="B97" s="5" t="s">
        <v>148</v>
      </c>
      <c r="C97" s="210">
        <v>0</v>
      </c>
      <c r="D97" s="279">
        <v>-4500</v>
      </c>
      <c r="E97" s="263"/>
      <c r="F97" s="239">
        <f t="shared" ref="F97:F118" si="7">-(D97-E97)</f>
        <v>4500</v>
      </c>
      <c r="G97" s="239"/>
      <c r="H97" s="188">
        <v>-4140</v>
      </c>
      <c r="I97" s="290"/>
      <c r="J97" s="188"/>
      <c r="K97" s="188">
        <v>-7077</v>
      </c>
      <c r="L97" s="188"/>
      <c r="M97" s="171"/>
      <c r="N97" s="153"/>
      <c r="O97" s="127"/>
    </row>
    <row r="98" spans="1:15" x14ac:dyDescent="0.25">
      <c r="A98" s="24" t="str">
        <f>"5110"</f>
        <v>5110</v>
      </c>
      <c r="B98" s="5" t="str">
        <f>"Arrende"</f>
        <v>Arrende</v>
      </c>
      <c r="C98" s="210">
        <v>-4500</v>
      </c>
      <c r="D98" s="279">
        <v>-4500</v>
      </c>
      <c r="E98" s="263">
        <v>-4292</v>
      </c>
      <c r="F98" s="239">
        <f t="shared" si="7"/>
        <v>208</v>
      </c>
      <c r="G98" s="239"/>
      <c r="H98" s="188">
        <v>-4281</v>
      </c>
      <c r="I98" s="290">
        <v>-4213</v>
      </c>
      <c r="J98" s="188">
        <v>-4119</v>
      </c>
      <c r="K98" s="188">
        <v>-4051</v>
      </c>
      <c r="L98" s="188">
        <v>-4004</v>
      </c>
      <c r="M98" s="171">
        <v>-4000</v>
      </c>
      <c r="N98" s="153">
        <v>-1643</v>
      </c>
      <c r="O98" s="127">
        <v>-1643</v>
      </c>
    </row>
    <row r="99" spans="1:15" x14ac:dyDescent="0.25">
      <c r="A99" s="24" t="str">
        <f>"5120"</f>
        <v>5120</v>
      </c>
      <c r="B99" s="5" t="str">
        <f>"Elektricitet"</f>
        <v>Elektricitet</v>
      </c>
      <c r="C99" s="210">
        <v>-40000</v>
      </c>
      <c r="D99" s="279">
        <v>-30000</v>
      </c>
      <c r="E99" s="263">
        <v>-31211</v>
      </c>
      <c r="F99" s="239">
        <f t="shared" si="7"/>
        <v>-1211</v>
      </c>
      <c r="G99" s="239"/>
      <c r="H99" s="188">
        <v>-21124</v>
      </c>
      <c r="I99" s="290">
        <v>-32089</v>
      </c>
      <c r="J99" s="188">
        <v>-24974</v>
      </c>
      <c r="K99" s="188">
        <v>-20172</v>
      </c>
      <c r="L99" s="188">
        <v>-15738</v>
      </c>
      <c r="M99" s="171">
        <v>-21431</v>
      </c>
      <c r="N99" s="153">
        <v>-24526</v>
      </c>
      <c r="O99" s="127">
        <v>-28939</v>
      </c>
    </row>
    <row r="100" spans="1:15" x14ac:dyDescent="0.25">
      <c r="A100" s="24" t="str">
        <f>"5140"</f>
        <v>5140</v>
      </c>
      <c r="B100" s="5" t="str">
        <f>"Vatten och sophämtning"</f>
        <v>Vatten och sophämtning</v>
      </c>
      <c r="C100" s="210">
        <v>-8400</v>
      </c>
      <c r="D100" s="279">
        <v>-8000</v>
      </c>
      <c r="E100" s="263">
        <v>-8149</v>
      </c>
      <c r="F100" s="239">
        <f t="shared" si="7"/>
        <v>-149</v>
      </c>
      <c r="G100" s="239"/>
      <c r="H100" s="188">
        <v>-7733</v>
      </c>
      <c r="I100" s="290">
        <v>-9609</v>
      </c>
      <c r="J100" s="188">
        <v>-9718</v>
      </c>
      <c r="K100" s="188">
        <v>-6787</v>
      </c>
      <c r="L100" s="188">
        <v>-4833</v>
      </c>
      <c r="M100" s="171">
        <v>-6464</v>
      </c>
      <c r="N100" s="153">
        <v>-5849</v>
      </c>
      <c r="O100" s="127">
        <v>-6178</v>
      </c>
    </row>
    <row r="101" spans="1:15" x14ac:dyDescent="0.25">
      <c r="A101" s="24" t="s">
        <v>45</v>
      </c>
      <c r="B101" s="5" t="s">
        <v>46</v>
      </c>
      <c r="C101" s="210">
        <v>0</v>
      </c>
      <c r="D101" s="279">
        <v>0</v>
      </c>
      <c r="E101" s="263"/>
      <c r="F101" s="255">
        <f t="shared" si="7"/>
        <v>0</v>
      </c>
      <c r="G101" s="239"/>
      <c r="H101" s="188">
        <v>0</v>
      </c>
      <c r="I101" s="290">
        <v>-10145</v>
      </c>
      <c r="J101" s="188"/>
      <c r="L101" s="188"/>
      <c r="M101" s="171">
        <v>-8039.38</v>
      </c>
      <c r="N101" s="153"/>
      <c r="O101" s="127"/>
    </row>
    <row r="102" spans="1:15" x14ac:dyDescent="0.25">
      <c r="A102" s="24" t="str">
        <f>"5170"</f>
        <v>5170</v>
      </c>
      <c r="B102" s="5" t="str">
        <f>"Fastighetsunderhåll"</f>
        <v>Fastighetsunderhåll</v>
      </c>
      <c r="C102" s="210">
        <v>-5000</v>
      </c>
      <c r="D102" s="279">
        <v>-20000</v>
      </c>
      <c r="E102" s="263"/>
      <c r="F102" s="239">
        <f t="shared" si="7"/>
        <v>20000</v>
      </c>
      <c r="G102" s="239"/>
      <c r="H102" s="188">
        <v>-64149</v>
      </c>
      <c r="I102" s="290">
        <v>-10831.7</v>
      </c>
      <c r="J102" s="188">
        <v>-113866.87</v>
      </c>
      <c r="K102" s="188">
        <v>-135001.76999999999</v>
      </c>
      <c r="L102" s="188">
        <v>-1287</v>
      </c>
      <c r="M102" s="171">
        <v>-5540.5</v>
      </c>
      <c r="N102" s="153">
        <v>-18240</v>
      </c>
      <c r="O102" s="127">
        <v>-53805</v>
      </c>
    </row>
    <row r="103" spans="1:15" x14ac:dyDescent="0.25">
      <c r="A103" s="24" t="s">
        <v>47</v>
      </c>
      <c r="B103" s="5" t="s">
        <v>48</v>
      </c>
      <c r="C103" s="210"/>
      <c r="D103" s="279"/>
      <c r="E103" s="263"/>
      <c r="F103" s="239">
        <f t="shared" si="7"/>
        <v>0</v>
      </c>
      <c r="G103" s="239"/>
      <c r="H103" s="188"/>
      <c r="I103" s="290"/>
      <c r="J103" s="188"/>
      <c r="K103" s="188"/>
      <c r="L103" s="188"/>
      <c r="M103" s="171">
        <v>-4006</v>
      </c>
      <c r="N103" s="153">
        <v>-61624.5</v>
      </c>
      <c r="O103" s="127"/>
    </row>
    <row r="104" spans="1:15" x14ac:dyDescent="0.25">
      <c r="A104" s="24" t="str">
        <f>"5410"</f>
        <v>5410</v>
      </c>
      <c r="B104" s="5" t="str">
        <f>"Förbrukningsinventarier"</f>
        <v>Förbrukningsinventarier</v>
      </c>
      <c r="C104" s="210">
        <v>-3000</v>
      </c>
      <c r="D104" s="279">
        <v>-10000</v>
      </c>
      <c r="E104" s="263">
        <v>-1947.85</v>
      </c>
      <c r="F104" s="255">
        <f t="shared" si="7"/>
        <v>8052.15</v>
      </c>
      <c r="G104" s="239"/>
      <c r="H104" s="188">
        <v>-3406.35</v>
      </c>
      <c r="I104" s="290">
        <v>-16461.900000000001</v>
      </c>
      <c r="J104" s="188">
        <v>-43884.6</v>
      </c>
      <c r="K104" s="188">
        <v>-2639</v>
      </c>
      <c r="L104" s="188">
        <v>-13444</v>
      </c>
      <c r="M104" s="171">
        <v>-1795</v>
      </c>
      <c r="N104" s="153">
        <v>-1038</v>
      </c>
      <c r="O104" s="127">
        <v>-1675</v>
      </c>
    </row>
    <row r="105" spans="1:15" x14ac:dyDescent="0.25">
      <c r="A105" s="24" t="str">
        <f>"5420"</f>
        <v>5420</v>
      </c>
      <c r="B105" s="5" t="str">
        <f>"Programvaror"</f>
        <v>Programvaror</v>
      </c>
      <c r="C105" s="210">
        <v>-300</v>
      </c>
      <c r="D105" s="279">
        <v>-300</v>
      </c>
      <c r="E105" s="263">
        <v>-206.53</v>
      </c>
      <c r="F105" s="239">
        <f t="shared" si="7"/>
        <v>93.47</v>
      </c>
      <c r="G105" s="239"/>
      <c r="H105" s="188">
        <v>-211.21</v>
      </c>
      <c r="I105" s="290"/>
      <c r="J105" s="188"/>
      <c r="K105" s="188"/>
      <c r="L105" s="188"/>
      <c r="M105" s="171"/>
      <c r="N105" s="153">
        <v>-1265</v>
      </c>
      <c r="O105" s="127">
        <v>-1200</v>
      </c>
    </row>
    <row r="106" spans="1:15" x14ac:dyDescent="0.25">
      <c r="A106" s="24" t="s">
        <v>49</v>
      </c>
      <c r="B106" s="5" t="s">
        <v>50</v>
      </c>
      <c r="C106" s="210">
        <v>-3000</v>
      </c>
      <c r="D106" s="279">
        <v>-1000</v>
      </c>
      <c r="E106" s="263">
        <v>-3077.25</v>
      </c>
      <c r="F106" s="255">
        <f t="shared" si="7"/>
        <v>-2077.25</v>
      </c>
      <c r="G106" s="239"/>
      <c r="H106" s="188">
        <v>-8152.97</v>
      </c>
      <c r="I106" s="290">
        <v>-9988.17</v>
      </c>
      <c r="J106" s="188">
        <v>-1525.8</v>
      </c>
      <c r="K106" s="188">
        <v>-6039.33</v>
      </c>
      <c r="L106" s="188">
        <v>-1616</v>
      </c>
      <c r="M106" s="171">
        <v>-3556</v>
      </c>
      <c r="N106" s="153"/>
      <c r="O106" s="127"/>
    </row>
    <row r="107" spans="1:15" x14ac:dyDescent="0.25">
      <c r="A107" s="24" t="str">
        <f>"5500"</f>
        <v>5500</v>
      </c>
      <c r="B107" s="5" t="str">
        <f>"Kanotunderhåll"</f>
        <v>Kanotunderhåll</v>
      </c>
      <c r="C107" s="210">
        <v>-5000</v>
      </c>
      <c r="D107" s="279">
        <v>-5000</v>
      </c>
      <c r="E107" s="263">
        <v>-3746.2</v>
      </c>
      <c r="F107" s="255">
        <f t="shared" si="7"/>
        <v>1253.8000000000002</v>
      </c>
      <c r="G107" s="239"/>
      <c r="H107" s="188">
        <v>-735.85</v>
      </c>
      <c r="I107" s="290">
        <v>-1212.7</v>
      </c>
      <c r="J107" s="188">
        <v>-1752.8</v>
      </c>
      <c r="K107" s="188">
        <v>0</v>
      </c>
      <c r="L107" s="188"/>
      <c r="M107" s="171">
        <v>-2258</v>
      </c>
      <c r="N107" s="153">
        <v>-4670</v>
      </c>
      <c r="O107" s="127">
        <v>-1400</v>
      </c>
    </row>
    <row r="108" spans="1:15" x14ac:dyDescent="0.25">
      <c r="A108" s="24" t="str">
        <f>"5611"</f>
        <v>5611</v>
      </c>
      <c r="B108" s="5" t="s">
        <v>51</v>
      </c>
      <c r="C108" s="210">
        <v>-5000</v>
      </c>
      <c r="D108" s="279">
        <v>-5000</v>
      </c>
      <c r="E108" s="263">
        <v>-4358.88</v>
      </c>
      <c r="F108" s="239">
        <f t="shared" si="7"/>
        <v>641.11999999999989</v>
      </c>
      <c r="G108" s="239"/>
      <c r="H108" s="188">
        <v>-4865.28</v>
      </c>
      <c r="I108" s="290">
        <v>-3277.79</v>
      </c>
      <c r="J108" s="188">
        <v>-2789.82</v>
      </c>
      <c r="K108" s="188">
        <v>1414.08</v>
      </c>
      <c r="L108" s="188">
        <v>-875</v>
      </c>
      <c r="M108" s="171">
        <v>-1569</v>
      </c>
      <c r="N108" s="153">
        <v>-573</v>
      </c>
      <c r="O108" s="127">
        <v>-1867</v>
      </c>
    </row>
    <row r="109" spans="1:15" x14ac:dyDescent="0.25">
      <c r="A109" s="24" t="str">
        <f>"5612"</f>
        <v>5612</v>
      </c>
      <c r="B109" s="5" t="str">
        <f>"Försäkring"</f>
        <v>Försäkring</v>
      </c>
      <c r="C109" s="210">
        <v>-19572</v>
      </c>
      <c r="D109" s="279">
        <v>-20000</v>
      </c>
      <c r="E109" s="263">
        <v>-19023</v>
      </c>
      <c r="F109" s="255">
        <f t="shared" si="7"/>
        <v>977</v>
      </c>
      <c r="G109" s="239"/>
      <c r="H109" s="188">
        <v>-18509</v>
      </c>
      <c r="I109" s="290">
        <v>-17955</v>
      </c>
      <c r="J109" s="188">
        <v>-21275</v>
      </c>
      <c r="K109" s="188">
        <v>-16185</v>
      </c>
      <c r="L109" s="188">
        <v>-7266</v>
      </c>
      <c r="M109" s="171">
        <v>-28098</v>
      </c>
      <c r="N109" s="153">
        <v>-27736</v>
      </c>
      <c r="O109" s="127">
        <v>-43706</v>
      </c>
    </row>
    <row r="110" spans="1:15" x14ac:dyDescent="0.25">
      <c r="A110" s="24" t="s">
        <v>52</v>
      </c>
      <c r="B110" s="5" t="s">
        <v>53</v>
      </c>
      <c r="C110" s="210">
        <v>-1000</v>
      </c>
      <c r="D110" s="279">
        <v>-600</v>
      </c>
      <c r="E110" s="263">
        <v>-954</v>
      </c>
      <c r="F110" s="255">
        <f t="shared" si="7"/>
        <v>-354</v>
      </c>
      <c r="G110" s="239"/>
      <c r="H110" s="188">
        <v>-525</v>
      </c>
      <c r="I110" s="290">
        <v>-1714</v>
      </c>
      <c r="J110" s="188"/>
      <c r="K110" s="188"/>
      <c r="L110" s="188"/>
      <c r="M110" s="171">
        <v>-4371</v>
      </c>
      <c r="N110" s="153"/>
      <c r="O110" s="127">
        <v>-400</v>
      </c>
    </row>
    <row r="111" spans="1:15" x14ac:dyDescent="0.25">
      <c r="A111" s="24" t="s">
        <v>178</v>
      </c>
      <c r="B111" s="5" t="s">
        <v>179</v>
      </c>
      <c r="C111" s="210"/>
      <c r="D111" s="279">
        <v>-599.5</v>
      </c>
      <c r="E111" s="263">
        <v>-599.5</v>
      </c>
      <c r="F111" s="255">
        <f>-(D111-E111)</f>
        <v>0</v>
      </c>
      <c r="G111" s="239"/>
      <c r="H111" s="188"/>
      <c r="I111" s="290"/>
      <c r="J111" s="188"/>
      <c r="K111" s="188"/>
      <c r="L111" s="188"/>
      <c r="M111" s="171"/>
      <c r="N111" s="153">
        <v>-315</v>
      </c>
      <c r="O111" s="127"/>
    </row>
    <row r="112" spans="1:15" x14ac:dyDescent="0.25">
      <c r="A112" s="24" t="str">
        <f>"5620"</f>
        <v>5620</v>
      </c>
      <c r="B112" s="5" t="s">
        <v>54</v>
      </c>
      <c r="C112" s="210">
        <v>-2500</v>
      </c>
      <c r="D112" s="279">
        <v>0</v>
      </c>
      <c r="E112" s="263">
        <v>-2295</v>
      </c>
      <c r="F112" s="255">
        <f t="shared" si="7"/>
        <v>-2295</v>
      </c>
      <c r="G112" s="239"/>
      <c r="H112" s="188">
        <v>0</v>
      </c>
      <c r="I112" s="290">
        <v>0</v>
      </c>
      <c r="J112" s="188">
        <v>-1445.9</v>
      </c>
      <c r="K112" s="188">
        <v>-49893</v>
      </c>
      <c r="L112" s="188">
        <v>-2295</v>
      </c>
      <c r="M112" s="171">
        <v>-8015</v>
      </c>
      <c r="N112" s="153">
        <v>-1476</v>
      </c>
      <c r="O112" s="127">
        <v>-1721</v>
      </c>
    </row>
    <row r="113" spans="1:15" x14ac:dyDescent="0.25">
      <c r="A113" s="24" t="s">
        <v>55</v>
      </c>
      <c r="B113" s="5" t="s">
        <v>56</v>
      </c>
      <c r="C113" s="210"/>
      <c r="D113" s="279"/>
      <c r="E113" s="263"/>
      <c r="F113" s="255">
        <f t="shared" si="7"/>
        <v>0</v>
      </c>
      <c r="G113" s="239"/>
      <c r="H113" s="188"/>
      <c r="I113" s="290"/>
      <c r="J113" s="188"/>
      <c r="K113" s="188"/>
      <c r="L113" s="188"/>
      <c r="M113" s="171"/>
      <c r="N113" s="153"/>
      <c r="O113" s="127"/>
    </row>
    <row r="114" spans="1:15" x14ac:dyDescent="0.25">
      <c r="A114" s="24" t="str">
        <f>"6110"</f>
        <v>6110</v>
      </c>
      <c r="B114" s="5" t="str">
        <f>"Kontorsmaterial"</f>
        <v>Kontorsmaterial</v>
      </c>
      <c r="C114" s="210"/>
      <c r="D114" s="279"/>
      <c r="E114" s="263"/>
      <c r="F114" s="255">
        <f t="shared" si="7"/>
        <v>0</v>
      </c>
      <c r="G114" s="239"/>
      <c r="H114" s="188"/>
      <c r="I114" s="290"/>
      <c r="J114" s="188"/>
      <c r="K114" s="188"/>
      <c r="L114" s="188">
        <v>-148</v>
      </c>
      <c r="M114" s="171">
        <v>-1733</v>
      </c>
      <c r="N114" s="153">
        <v>-138</v>
      </c>
      <c r="O114" s="127">
        <v>-115</v>
      </c>
    </row>
    <row r="115" spans="1:15" x14ac:dyDescent="0.25">
      <c r="A115" s="24" t="str">
        <f>"6210"</f>
        <v>6210</v>
      </c>
      <c r="B115" s="5" t="str">
        <f>"Telefon"</f>
        <v>Telefon</v>
      </c>
      <c r="C115" s="210"/>
      <c r="D115" s="279"/>
      <c r="E115" s="263"/>
      <c r="F115" s="255">
        <f t="shared" si="7"/>
        <v>0</v>
      </c>
      <c r="G115" s="239"/>
      <c r="H115" s="188"/>
      <c r="I115" s="290"/>
      <c r="J115" s="188"/>
      <c r="K115" s="188"/>
      <c r="L115" s="188"/>
      <c r="M115" s="171"/>
      <c r="N115" s="153">
        <v>-440</v>
      </c>
      <c r="O115" s="127">
        <v>-1928</v>
      </c>
    </row>
    <row r="116" spans="1:15" x14ac:dyDescent="0.25">
      <c r="A116" s="24" t="str">
        <f>"6250"</f>
        <v>6250</v>
      </c>
      <c r="B116" s="5" t="str">
        <f>"Porto"</f>
        <v>Porto</v>
      </c>
      <c r="C116" s="210"/>
      <c r="D116" s="279"/>
      <c r="E116" s="263"/>
      <c r="F116" s="255">
        <f t="shared" si="7"/>
        <v>0</v>
      </c>
      <c r="G116" s="239"/>
      <c r="H116" s="188"/>
      <c r="I116" s="290"/>
      <c r="J116" s="188"/>
      <c r="K116" s="188"/>
      <c r="L116" s="188">
        <v>-183</v>
      </c>
      <c r="M116" s="171">
        <v>-140</v>
      </c>
      <c r="N116" s="153">
        <v>-60</v>
      </c>
      <c r="O116" s="127">
        <v>-60</v>
      </c>
    </row>
    <row r="117" spans="1:15" x14ac:dyDescent="0.25">
      <c r="A117" s="24" t="s">
        <v>169</v>
      </c>
      <c r="B117" s="5" t="s">
        <v>170</v>
      </c>
      <c r="C117" s="210">
        <v>-10000</v>
      </c>
      <c r="D117" s="279">
        <v>-2500</v>
      </c>
      <c r="E117" s="263">
        <v>-11570.4</v>
      </c>
      <c r="F117" s="255">
        <f t="shared" si="7"/>
        <v>-9070.4</v>
      </c>
      <c r="G117" s="239"/>
      <c r="H117" s="188">
        <v>-2667.57</v>
      </c>
      <c r="I117" s="290"/>
      <c r="J117" s="188"/>
      <c r="K117" s="188"/>
      <c r="L117" s="188"/>
      <c r="M117" s="171"/>
      <c r="N117" s="153"/>
      <c r="O117" s="127"/>
    </row>
    <row r="118" spans="1:15" x14ac:dyDescent="0.25">
      <c r="A118" s="24" t="s">
        <v>127</v>
      </c>
      <c r="B118" s="5" t="s">
        <v>128</v>
      </c>
      <c r="C118" s="210">
        <v>-7000</v>
      </c>
      <c r="D118" s="279">
        <v>-7000</v>
      </c>
      <c r="E118" s="263">
        <v>-5382</v>
      </c>
      <c r="F118" s="255">
        <f t="shared" si="7"/>
        <v>1618</v>
      </c>
      <c r="G118" s="239"/>
      <c r="H118" s="188">
        <v>-6405</v>
      </c>
      <c r="I118" s="290">
        <v>-26174</v>
      </c>
      <c r="J118" s="188">
        <v>-27425</v>
      </c>
      <c r="K118" s="188">
        <v>-16680</v>
      </c>
      <c r="L118" s="188"/>
      <c r="M118" s="171"/>
      <c r="N118" s="153"/>
      <c r="O118" s="127"/>
    </row>
    <row r="119" spans="1:15" x14ac:dyDescent="0.25">
      <c r="A119" s="24" t="str">
        <f>"6570"</f>
        <v>6570</v>
      </c>
      <c r="B119" s="5" t="str">
        <f>"Bankkostnader"</f>
        <v>Bankkostnader</v>
      </c>
      <c r="C119" s="210">
        <v>-1000</v>
      </c>
      <c r="D119" s="279">
        <v>-1000</v>
      </c>
      <c r="E119" s="263">
        <v>-994.5</v>
      </c>
      <c r="F119" s="255">
        <f>-(D119-E119)</f>
        <v>5.5</v>
      </c>
      <c r="G119" s="239"/>
      <c r="H119" s="188">
        <v>-964.5</v>
      </c>
      <c r="I119" s="290">
        <v>-971.99</v>
      </c>
      <c r="J119" s="188">
        <v>-927</v>
      </c>
      <c r="K119" s="188">
        <v>-909</v>
      </c>
      <c r="L119" s="188">
        <v>-615</v>
      </c>
      <c r="M119" s="171">
        <v>-4.5</v>
      </c>
      <c r="N119" s="153">
        <v>-1869</v>
      </c>
      <c r="O119" s="127">
        <v>-1971</v>
      </c>
    </row>
    <row r="120" spans="1:15" x14ac:dyDescent="0.25">
      <c r="A120" s="24" t="str">
        <f>"6980"</f>
        <v>6980</v>
      </c>
      <c r="B120" s="5" t="str">
        <f>"Föreningsavgift /Licenser"</f>
        <v>Föreningsavgift /Licenser</v>
      </c>
      <c r="C120" s="210">
        <v>-15000</v>
      </c>
      <c r="D120" s="279">
        <v>-20000</v>
      </c>
      <c r="E120" s="263">
        <v>-13825</v>
      </c>
      <c r="F120" s="255">
        <f>-(D120-E120)</f>
        <v>6175</v>
      </c>
      <c r="G120" s="239"/>
      <c r="H120" s="188">
        <v>-19240</v>
      </c>
      <c r="I120" s="290">
        <v>-14550</v>
      </c>
      <c r="J120" s="188">
        <v>-18200</v>
      </c>
      <c r="K120" s="188">
        <v>-23420</v>
      </c>
      <c r="L120" s="188">
        <v>-17180</v>
      </c>
      <c r="M120" s="171">
        <v>-15790</v>
      </c>
      <c r="N120" s="153">
        <v>-26978</v>
      </c>
      <c r="O120" s="127">
        <v>-24550</v>
      </c>
    </row>
    <row r="121" spans="1:15" x14ac:dyDescent="0.25">
      <c r="A121" s="24" t="str">
        <f>"6990"</f>
        <v>6990</v>
      </c>
      <c r="B121" s="5" t="str">
        <f>"Övriga Kostnader"</f>
        <v>Övriga Kostnader</v>
      </c>
      <c r="C121" s="210">
        <v>0</v>
      </c>
      <c r="D121" s="279">
        <v>-5000</v>
      </c>
      <c r="E121" s="263">
        <v>-6700</v>
      </c>
      <c r="F121" s="255">
        <f>-(D121-E121)</f>
        <v>-1700</v>
      </c>
      <c r="G121" s="239"/>
      <c r="H121" s="188">
        <v>-4478</v>
      </c>
      <c r="I121" s="290">
        <v>-4954.95</v>
      </c>
      <c r="J121" s="188">
        <v>-3187.5</v>
      </c>
      <c r="K121" s="188">
        <v>-778</v>
      </c>
      <c r="L121" s="188">
        <v>-4730.79</v>
      </c>
      <c r="M121" s="171">
        <v>-3998.66</v>
      </c>
      <c r="N121" s="153">
        <v>-3766.5</v>
      </c>
      <c r="O121" s="127">
        <v>-14526.5</v>
      </c>
    </row>
    <row r="122" spans="1:15" x14ac:dyDescent="0.25">
      <c r="A122" s="26"/>
      <c r="B122" s="6"/>
      <c r="C122" s="210"/>
      <c r="D122" s="279"/>
      <c r="E122" s="263"/>
      <c r="F122" s="255"/>
      <c r="G122" s="239"/>
      <c r="H122" s="188"/>
      <c r="I122" s="290"/>
      <c r="J122" s="188"/>
      <c r="K122" s="188"/>
      <c r="L122" s="188"/>
      <c r="M122" s="6"/>
      <c r="N122" s="153"/>
      <c r="O122" s="127"/>
    </row>
    <row r="123" spans="1:15" s="1" customFormat="1" ht="15.75" thickBot="1" x14ac:dyDescent="0.3">
      <c r="A123" s="27" t="str">
        <f>"S:a Övriga externa kostnader"</f>
        <v>S:a Övriga externa kostnader</v>
      </c>
      <c r="B123" s="14"/>
      <c r="C123" s="212">
        <f>SUM(C98:C121)</f>
        <v>-130272</v>
      </c>
      <c r="D123" s="298">
        <f t="shared" ref="D123:E123" si="8">SUM(D98:D121)</f>
        <v>-140499.5</v>
      </c>
      <c r="E123" s="299">
        <f t="shared" si="8"/>
        <v>-118332.10999999999</v>
      </c>
      <c r="F123" s="255">
        <f t="shared" ref="F123" si="9">-(D123-E123)</f>
        <v>22167.390000000014</v>
      </c>
      <c r="G123" s="240"/>
      <c r="H123" s="189">
        <v>-171587.73000000004</v>
      </c>
      <c r="I123" s="292">
        <f>SUM(I98:I121)</f>
        <v>-164148.20000000001</v>
      </c>
      <c r="J123" s="189">
        <f t="shared" ref="J123:O123" si="10">SUM(J98:J121)</f>
        <v>-275091.28999999998</v>
      </c>
      <c r="K123" s="189">
        <f t="shared" si="10"/>
        <v>-281141.02</v>
      </c>
      <c r="L123" s="189">
        <f t="shared" si="10"/>
        <v>-74214.789999999994</v>
      </c>
      <c r="M123" s="170">
        <f t="shared" si="10"/>
        <v>-120809.04000000001</v>
      </c>
      <c r="N123" s="109">
        <f t="shared" si="10"/>
        <v>-182207</v>
      </c>
      <c r="O123" s="119">
        <f t="shared" si="10"/>
        <v>-185684.5</v>
      </c>
    </row>
    <row r="124" spans="1:15" s="1" customFormat="1" ht="15.75" thickBot="1" x14ac:dyDescent="0.3">
      <c r="A124" s="80"/>
      <c r="B124" s="81"/>
      <c r="C124" s="206"/>
      <c r="D124" s="286"/>
      <c r="E124" s="269"/>
      <c r="F124" s="243"/>
      <c r="G124" s="243"/>
      <c r="H124" s="197"/>
      <c r="I124" s="295"/>
      <c r="J124" s="197"/>
      <c r="K124" s="197"/>
      <c r="L124" s="197"/>
      <c r="M124" s="172"/>
      <c r="N124" s="158"/>
      <c r="O124" s="130"/>
    </row>
    <row r="125" spans="1:15" x14ac:dyDescent="0.25">
      <c r="A125" s="19"/>
      <c r="B125" s="20"/>
      <c r="C125" s="205"/>
      <c r="D125" s="282"/>
      <c r="E125" s="266"/>
      <c r="F125" s="241"/>
      <c r="G125" s="241"/>
      <c r="H125" s="190"/>
      <c r="I125" s="293"/>
      <c r="J125" s="190"/>
      <c r="K125" s="190"/>
      <c r="L125" s="190"/>
      <c r="M125" s="168"/>
      <c r="N125" s="155"/>
      <c r="O125" s="131"/>
    </row>
    <row r="126" spans="1:15" x14ac:dyDescent="0.25">
      <c r="A126" s="22" t="str">
        <f>"Personalkostnader"</f>
        <v>Personalkostnader</v>
      </c>
      <c r="B126" s="6"/>
      <c r="C126" s="203"/>
      <c r="D126" s="278"/>
      <c r="E126" s="263"/>
      <c r="F126" s="239"/>
      <c r="G126" s="239"/>
      <c r="H126" s="188"/>
      <c r="I126" s="290"/>
      <c r="J126" s="188"/>
      <c r="K126" s="188"/>
      <c r="L126" s="188"/>
      <c r="M126" s="6"/>
      <c r="N126" s="153"/>
      <c r="O126" s="127"/>
    </row>
    <row r="127" spans="1:15" x14ac:dyDescent="0.25">
      <c r="A127" s="24" t="s">
        <v>57</v>
      </c>
      <c r="B127" s="5" t="s">
        <v>58</v>
      </c>
      <c r="C127" s="210">
        <v>0</v>
      </c>
      <c r="D127" s="279">
        <v>0</v>
      </c>
      <c r="E127" s="263"/>
      <c r="F127" s="255">
        <f>-(D127-E127)</f>
        <v>0</v>
      </c>
      <c r="G127" s="239"/>
      <c r="H127" s="188">
        <v>0</v>
      </c>
      <c r="I127" s="290">
        <v>0</v>
      </c>
      <c r="J127" s="188">
        <v>-1600</v>
      </c>
      <c r="K127" s="188">
        <v>-1500</v>
      </c>
      <c r="L127" s="188">
        <v>-4050</v>
      </c>
      <c r="M127" s="171">
        <v>-600</v>
      </c>
      <c r="N127" s="153">
        <v>-900</v>
      </c>
      <c r="O127" s="127">
        <v>-2200</v>
      </c>
    </row>
    <row r="128" spans="1:15" x14ac:dyDescent="0.25">
      <c r="A128" s="24" t="str">
        <f>"7210"</f>
        <v>7210</v>
      </c>
      <c r="B128" s="5" t="str">
        <f>"Resekostnads ersättning"</f>
        <v>Resekostnads ersättning</v>
      </c>
      <c r="C128" s="210">
        <v>-2500</v>
      </c>
      <c r="D128" s="279">
        <v>-2000</v>
      </c>
      <c r="E128" s="263">
        <v>-2154</v>
      </c>
      <c r="F128" s="239">
        <f>-(D128-E128)</f>
        <v>-154</v>
      </c>
      <c r="G128" s="239"/>
      <c r="H128" s="188">
        <v>-2154</v>
      </c>
      <c r="I128" s="290">
        <v>-1365</v>
      </c>
      <c r="J128" s="188">
        <v>-6146.89</v>
      </c>
      <c r="K128" s="188">
        <v>-2673</v>
      </c>
      <c r="L128" s="188">
        <v>-851</v>
      </c>
      <c r="M128" s="171">
        <v>-610</v>
      </c>
      <c r="N128" s="153">
        <v>-6961</v>
      </c>
      <c r="O128" s="127">
        <v>-6040</v>
      </c>
    </row>
    <row r="129" spans="1:67" x14ac:dyDescent="0.25">
      <c r="A129" s="24" t="str">
        <f>"7610"</f>
        <v>7610</v>
      </c>
      <c r="B129" s="5" t="str">
        <f>"Utbildning"</f>
        <v>Utbildning</v>
      </c>
      <c r="C129" s="210">
        <v>-5000</v>
      </c>
      <c r="D129" s="279">
        <v>-5000</v>
      </c>
      <c r="E129" s="263">
        <v>-3000</v>
      </c>
      <c r="F129" s="255">
        <f>-(D129-E129)</f>
        <v>2000</v>
      </c>
      <c r="G129" s="239"/>
      <c r="H129" s="188">
        <v>-16500</v>
      </c>
      <c r="I129" s="290">
        <v>-6703.5</v>
      </c>
      <c r="J129" s="188">
        <v>0</v>
      </c>
      <c r="K129" s="188">
        <v>-13629</v>
      </c>
      <c r="L129" s="188">
        <v>-7796</v>
      </c>
      <c r="M129" s="171"/>
      <c r="N129" s="153">
        <v>-11671</v>
      </c>
      <c r="O129" s="127">
        <v>-18925</v>
      </c>
    </row>
    <row r="130" spans="1:67" x14ac:dyDescent="0.25">
      <c r="A130" s="26"/>
      <c r="B130" s="6" t="s">
        <v>37</v>
      </c>
      <c r="C130" s="210"/>
      <c r="D130" s="279"/>
      <c r="E130" s="263"/>
      <c r="F130" s="255"/>
      <c r="G130" s="239"/>
      <c r="H130" s="188"/>
      <c r="I130" s="290"/>
      <c r="J130" s="188"/>
      <c r="K130" s="188"/>
      <c r="L130" s="188"/>
      <c r="M130" s="6"/>
      <c r="N130" s="153"/>
      <c r="O130" s="127"/>
    </row>
    <row r="131" spans="1:67" s="1" customFormat="1" ht="15.75" thickBot="1" x14ac:dyDescent="0.3">
      <c r="A131" s="27" t="str">
        <f>"S:a Personalkostnader"</f>
        <v>S:a Personalkostnader</v>
      </c>
      <c r="B131" s="14"/>
      <c r="C131" s="212">
        <f>SUM(C127:C129)</f>
        <v>-7500</v>
      </c>
      <c r="D131" s="283">
        <v>-7000</v>
      </c>
      <c r="E131" s="265">
        <f>SUM(E127:E129)</f>
        <v>-5154</v>
      </c>
      <c r="F131" s="292">
        <f t="shared" ref="F131" si="11">-(D131-E131)</f>
        <v>1846</v>
      </c>
      <c r="G131" s="240"/>
      <c r="H131" s="189">
        <v>-18654</v>
      </c>
      <c r="I131" s="292">
        <f>SUM(I127:I129)</f>
        <v>-8068.5</v>
      </c>
      <c r="J131" s="189">
        <f t="shared" ref="J131:O131" si="12">SUM(J127:J129)</f>
        <v>-7746.89</v>
      </c>
      <c r="K131" s="189">
        <f t="shared" si="12"/>
        <v>-17802</v>
      </c>
      <c r="L131" s="189">
        <f t="shared" si="12"/>
        <v>-12697</v>
      </c>
      <c r="M131" s="170">
        <f t="shared" si="12"/>
        <v>-1210</v>
      </c>
      <c r="N131" s="154">
        <f t="shared" si="12"/>
        <v>-19532</v>
      </c>
      <c r="O131" s="119">
        <f t="shared" si="12"/>
        <v>-27165</v>
      </c>
    </row>
    <row r="132" spans="1:67" x14ac:dyDescent="0.25">
      <c r="A132" s="19"/>
      <c r="B132" s="20"/>
      <c r="C132" s="205"/>
      <c r="D132" s="282"/>
      <c r="E132" s="266"/>
      <c r="F132" s="241"/>
      <c r="G132" s="241"/>
      <c r="H132" s="190"/>
      <c r="I132" s="293"/>
      <c r="J132" s="190"/>
      <c r="K132" s="190"/>
      <c r="L132" s="190"/>
      <c r="M132" s="168"/>
      <c r="N132" s="155"/>
      <c r="O132" s="131"/>
    </row>
    <row r="133" spans="1:67" x14ac:dyDescent="0.25">
      <c r="A133" s="26"/>
      <c r="B133" s="6"/>
      <c r="C133" s="203"/>
      <c r="D133" s="278"/>
      <c r="E133" s="263"/>
      <c r="F133" s="239"/>
      <c r="G133" s="239"/>
      <c r="H133" s="188"/>
      <c r="I133" s="290"/>
      <c r="J133" s="188"/>
      <c r="K133" s="188"/>
      <c r="L133" s="188"/>
      <c r="M133" s="6"/>
      <c r="N133" s="153"/>
      <c r="O133" s="127"/>
    </row>
    <row r="134" spans="1:67" s="2" customFormat="1" ht="15.75" thickBot="1" x14ac:dyDescent="0.3">
      <c r="A134" s="32" t="str">
        <f>"S:a Rörelsens kostnader inkl råvaror mm"</f>
        <v>S:a Rörelsens kostnader inkl råvaror mm</v>
      </c>
      <c r="B134" s="33"/>
      <c r="C134" s="147">
        <f>SUM(C89+C123+C131)</f>
        <v>-616772</v>
      </c>
      <c r="D134" s="147">
        <v>-531213</v>
      </c>
      <c r="E134" s="242">
        <f>E89+E123+E131</f>
        <v>-415089.44</v>
      </c>
      <c r="F134" s="242"/>
      <c r="G134" s="242"/>
      <c r="H134" s="163">
        <v>-384799.69000000006</v>
      </c>
      <c r="I134" s="163">
        <f>I89+I123+I131</f>
        <v>-686874.89999999991</v>
      </c>
      <c r="J134" s="163">
        <f>J89+J123+J131</f>
        <v>-725624.53999999992</v>
      </c>
      <c r="K134" s="163">
        <f>K89+K123+K131</f>
        <v>-607615.47</v>
      </c>
      <c r="L134" s="163">
        <f>L89+L123+L131</f>
        <v>-437772.44</v>
      </c>
      <c r="M134" s="149">
        <f>M89+M131+M123</f>
        <v>-408752.87</v>
      </c>
      <c r="N134" s="110">
        <f>N89+N131+N123</f>
        <v>-487742.48</v>
      </c>
      <c r="O134" s="111">
        <f>O89+O123+O131</f>
        <v>-471937.5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</row>
    <row r="135" spans="1:67" s="2" customFormat="1" x14ac:dyDescent="0.25">
      <c r="A135" s="51"/>
      <c r="B135" s="17"/>
      <c r="C135" s="207"/>
      <c r="D135" s="287"/>
      <c r="E135" s="270"/>
      <c r="F135" s="244"/>
      <c r="G135" s="244"/>
      <c r="H135" s="191"/>
      <c r="I135" s="296"/>
      <c r="J135" s="191"/>
      <c r="K135" s="191"/>
      <c r="L135" s="191"/>
      <c r="M135" s="81"/>
      <c r="N135" s="156"/>
      <c r="O135" s="13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</row>
    <row r="136" spans="1:67" s="2" customFormat="1" x14ac:dyDescent="0.25">
      <c r="A136" s="51" t="s">
        <v>59</v>
      </c>
      <c r="B136" s="17" t="s">
        <v>60</v>
      </c>
      <c r="C136" s="208"/>
      <c r="D136" s="288"/>
      <c r="E136" s="271"/>
      <c r="F136" s="245"/>
      <c r="G136" s="245"/>
      <c r="H136" s="198"/>
      <c r="I136" s="297"/>
      <c r="J136" s="198"/>
      <c r="K136" s="198"/>
      <c r="L136" s="198"/>
      <c r="M136" s="17">
        <v>118.94</v>
      </c>
      <c r="N136" s="157">
        <v>7419</v>
      </c>
      <c r="O136" s="132">
        <v>708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</row>
    <row r="137" spans="1:67" x14ac:dyDescent="0.25">
      <c r="A137" s="26"/>
      <c r="B137" s="6"/>
      <c r="C137" s="203"/>
      <c r="D137" s="278"/>
      <c r="E137" s="263"/>
      <c r="F137" s="239"/>
      <c r="G137" s="239"/>
      <c r="H137" s="188"/>
      <c r="I137" s="290"/>
      <c r="J137" s="188"/>
      <c r="K137" s="188"/>
      <c r="L137" s="188"/>
      <c r="M137" s="6"/>
      <c r="N137" s="153"/>
      <c r="O137" s="127"/>
    </row>
    <row r="138" spans="1:67" s="3" customFormat="1" x14ac:dyDescent="0.25">
      <c r="A138" s="113" t="str">
        <f>"Beräknat resultat"</f>
        <v>Beräknat resultat</v>
      </c>
      <c r="B138" s="114"/>
      <c r="C138" s="150">
        <f>C57+C134</f>
        <v>-15472</v>
      </c>
      <c r="D138" s="150" t="s">
        <v>149</v>
      </c>
      <c r="E138" s="150">
        <f>E57+E134+E136</f>
        <v>127696.61000000004</v>
      </c>
      <c r="F138" s="164" t="e">
        <f>-(D138-E138)</f>
        <v>#VALUE!</v>
      </c>
      <c r="G138" s="246"/>
      <c r="H138" s="164">
        <v>135543.5799999999</v>
      </c>
      <c r="I138" s="164">
        <f>I57+I134+I136</f>
        <v>16136.70000000007</v>
      </c>
      <c r="J138" s="164">
        <f t="shared" ref="J138:O138" si="13">J57+J134+J136</f>
        <v>-200525.78999999992</v>
      </c>
      <c r="K138" s="164">
        <f t="shared" si="13"/>
        <v>-30377.719999999972</v>
      </c>
      <c r="L138" s="164">
        <f t="shared" si="13"/>
        <v>37955.56</v>
      </c>
      <c r="M138" s="150">
        <f t="shared" si="13"/>
        <v>25598.40000000002</v>
      </c>
      <c r="N138" s="115">
        <f t="shared" si="13"/>
        <v>72132.520000000019</v>
      </c>
      <c r="O138" s="116">
        <f t="shared" si="13"/>
        <v>-59346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</row>
    <row r="139" spans="1:67" ht="15.75" thickBot="1" x14ac:dyDescent="0.3">
      <c r="A139" s="37"/>
      <c r="B139" s="15"/>
      <c r="C139" s="15"/>
      <c r="D139" s="15"/>
      <c r="E139" s="15"/>
      <c r="F139" s="247"/>
      <c r="G139" s="247"/>
      <c r="H139" s="15"/>
      <c r="I139" s="15"/>
      <c r="J139" s="15"/>
      <c r="K139" s="15"/>
      <c r="L139" s="15"/>
      <c r="M139" s="15"/>
      <c r="N139" s="109"/>
      <c r="O139" s="15"/>
    </row>
    <row r="140" spans="1:67" x14ac:dyDescent="0.25">
      <c r="E140" t="s">
        <v>180</v>
      </c>
    </row>
    <row r="141" spans="1:67" x14ac:dyDescent="0.25">
      <c r="E141" t="s">
        <v>181</v>
      </c>
    </row>
    <row r="142" spans="1:67" x14ac:dyDescent="0.25">
      <c r="E142"/>
    </row>
    <row r="143" spans="1:67" x14ac:dyDescent="0.25">
      <c r="E143"/>
    </row>
    <row r="144" spans="1:67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8648-4ADC-4D8E-AEC6-E8668FA2626E}">
  <dimension ref="A1:BP172"/>
  <sheetViews>
    <sheetView topLeftCell="A3" workbookViewId="0">
      <selection activeCell="B8" sqref="B8"/>
    </sheetView>
  </sheetViews>
  <sheetFormatPr defaultRowHeight="15" x14ac:dyDescent="0.25"/>
  <cols>
    <col min="1" max="1" width="12.28515625" customWidth="1"/>
    <col min="2" max="2" width="31.42578125" bestFit="1" customWidth="1"/>
    <col min="3" max="4" width="14" bestFit="1" customWidth="1"/>
    <col min="5" max="5" width="15.7109375" style="272" customWidth="1"/>
    <col min="6" max="6" width="13.7109375" style="248" bestFit="1" customWidth="1"/>
    <col min="7" max="7" width="4.5703125" style="248" customWidth="1"/>
    <col min="8" max="8" width="15.7109375" customWidth="1"/>
    <col min="9" max="9" width="14" bestFit="1" customWidth="1"/>
    <col min="10" max="13" width="15.7109375" customWidth="1"/>
    <col min="14" max="15" width="14.28515625" customWidth="1"/>
    <col min="16" max="16" width="13.7109375" style="4" customWidth="1"/>
    <col min="17" max="17" width="20.7109375" bestFit="1" customWidth="1"/>
    <col min="18" max="18" width="16" customWidth="1"/>
    <col min="19" max="19" width="12.7109375" customWidth="1"/>
    <col min="20" max="20" width="32.7109375" bestFit="1" customWidth="1"/>
    <col min="21" max="21" width="11.7109375" bestFit="1" customWidth="1"/>
  </cols>
  <sheetData>
    <row r="1" spans="1:16" hidden="1" x14ac:dyDescent="0.25">
      <c r="A1" s="9"/>
      <c r="C1" s="47"/>
      <c r="D1" s="47"/>
      <c r="E1" s="257"/>
      <c r="F1" s="233"/>
      <c r="G1" s="233"/>
      <c r="H1" s="194"/>
      <c r="I1" s="194"/>
      <c r="J1" s="194"/>
      <c r="K1" s="194"/>
      <c r="L1" s="194"/>
      <c r="M1" s="194"/>
      <c r="N1" s="47"/>
      <c r="O1" s="47"/>
      <c r="P1" s="10"/>
    </row>
    <row r="2" spans="1:16" hidden="1" x14ac:dyDescent="0.25">
      <c r="A2" s="9"/>
      <c r="B2" s="87"/>
      <c r="C2" s="87"/>
      <c r="D2" s="87"/>
      <c r="E2" s="258"/>
      <c r="F2" s="234"/>
      <c r="G2" s="234"/>
      <c r="H2" s="195"/>
      <c r="I2" s="195"/>
      <c r="J2" s="195"/>
      <c r="K2" s="195"/>
      <c r="L2" s="195"/>
      <c r="M2" s="195"/>
      <c r="N2" s="87"/>
      <c r="O2" s="7"/>
      <c r="P2" s="10"/>
    </row>
    <row r="3" spans="1:16" x14ac:dyDescent="0.25">
      <c r="A3" s="6"/>
      <c r="B3" s="47" t="s">
        <v>0</v>
      </c>
      <c r="C3" s="200">
        <v>2023</v>
      </c>
      <c r="D3" s="275">
        <v>2022</v>
      </c>
      <c r="E3" s="259">
        <v>2022</v>
      </c>
      <c r="F3" s="235"/>
      <c r="G3" s="235"/>
      <c r="H3" s="58">
        <v>2021</v>
      </c>
      <c r="I3" s="58">
        <v>2020</v>
      </c>
      <c r="J3" s="58">
        <v>2019</v>
      </c>
      <c r="K3" s="58">
        <v>2018</v>
      </c>
      <c r="L3" s="58">
        <v>2017</v>
      </c>
      <c r="M3" s="58">
        <v>2016</v>
      </c>
      <c r="N3" s="58">
        <v>2015</v>
      </c>
      <c r="O3" s="58">
        <v>2014</v>
      </c>
      <c r="P3" s="121">
        <v>2013</v>
      </c>
    </row>
    <row r="4" spans="1:16" ht="15.75" thickBot="1" x14ac:dyDescent="0.3">
      <c r="A4" s="16"/>
      <c r="B4" s="16"/>
      <c r="C4" s="201" t="s">
        <v>4</v>
      </c>
      <c r="D4" s="276" t="s">
        <v>4</v>
      </c>
      <c r="E4" s="260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59" t="s">
        <v>5</v>
      </c>
      <c r="O4" s="59" t="s">
        <v>5</v>
      </c>
      <c r="P4" s="122" t="s">
        <v>5</v>
      </c>
    </row>
    <row r="5" spans="1:16" x14ac:dyDescent="0.25">
      <c r="A5" s="19"/>
      <c r="B5" s="20"/>
      <c r="C5" s="202"/>
      <c r="D5" s="277"/>
      <c r="E5" s="261"/>
      <c r="F5" s="237" t="s">
        <v>149</v>
      </c>
      <c r="G5" s="237"/>
      <c r="H5" s="20"/>
      <c r="I5" s="20"/>
      <c r="J5" s="20"/>
      <c r="K5" s="20"/>
      <c r="L5" s="20"/>
      <c r="M5" s="20"/>
      <c r="N5" s="20"/>
      <c r="O5" s="20"/>
      <c r="P5" s="123"/>
    </row>
    <row r="6" spans="1:16" x14ac:dyDescent="0.25">
      <c r="A6" s="22" t="str">
        <f>"Rörelsens intäkter och lagerförändring"</f>
        <v>Rörelsens intäkter och lagerförändring</v>
      </c>
      <c r="B6" s="6"/>
      <c r="C6" s="203"/>
      <c r="D6" s="278"/>
      <c r="E6" s="262"/>
      <c r="F6" s="238"/>
      <c r="G6" s="238"/>
      <c r="H6" s="6"/>
      <c r="I6" s="6"/>
      <c r="J6" s="6"/>
      <c r="K6" s="6"/>
      <c r="L6" s="6"/>
      <c r="M6" s="6"/>
      <c r="N6" s="6"/>
      <c r="O6" s="6"/>
      <c r="P6" s="124"/>
    </row>
    <row r="7" spans="1:16" x14ac:dyDescent="0.25">
      <c r="A7" s="22" t="str">
        <f>"Nettoomsättning"</f>
        <v>Nettoomsättning</v>
      </c>
      <c r="B7" s="6"/>
      <c r="C7" s="203"/>
      <c r="D7" s="278"/>
      <c r="E7" s="262"/>
      <c r="F7" s="238"/>
      <c r="G7" s="238"/>
      <c r="H7" s="6"/>
      <c r="I7" s="6"/>
      <c r="J7" s="6"/>
      <c r="K7" s="6"/>
      <c r="L7" s="6"/>
      <c r="M7" s="6"/>
      <c r="N7" s="6"/>
      <c r="O7" s="6"/>
      <c r="P7" s="124"/>
    </row>
    <row r="8" spans="1:16" x14ac:dyDescent="0.25">
      <c r="A8" s="186" t="str">
        <f>"3110"</f>
        <v>3110</v>
      </c>
      <c r="B8" s="5" t="str">
        <f>"Medlemsavgifter"</f>
        <v>Medlemsavgifter</v>
      </c>
      <c r="C8" s="210">
        <v>27000</v>
      </c>
      <c r="D8" s="279">
        <v>23000</v>
      </c>
      <c r="E8" s="263">
        <v>26600</v>
      </c>
      <c r="F8" s="239">
        <f>-(D8-E8)</f>
        <v>3600</v>
      </c>
      <c r="G8" s="239"/>
      <c r="H8" s="290">
        <v>21800</v>
      </c>
      <c r="I8" s="188">
        <v>24600</v>
      </c>
      <c r="J8" s="290">
        <v>88115</v>
      </c>
      <c r="K8" s="188">
        <v>83200</v>
      </c>
      <c r="L8" s="188">
        <v>95550</v>
      </c>
      <c r="M8" s="188">
        <v>94050</v>
      </c>
      <c r="N8" s="165">
        <v>92225</v>
      </c>
      <c r="O8" s="153">
        <v>91000</v>
      </c>
      <c r="P8" s="125">
        <v>83650</v>
      </c>
    </row>
    <row r="9" spans="1:16" x14ac:dyDescent="0.25">
      <c r="A9" s="186" t="s">
        <v>155</v>
      </c>
      <c r="B9" s="5" t="s">
        <v>156</v>
      </c>
      <c r="C9" s="210">
        <v>55000</v>
      </c>
      <c r="D9" s="279">
        <v>54000</v>
      </c>
      <c r="E9" s="263">
        <v>54500</v>
      </c>
      <c r="F9" s="239">
        <f>-(D9-E9)</f>
        <v>500</v>
      </c>
      <c r="G9" s="239"/>
      <c r="H9" s="290">
        <v>53500</v>
      </c>
      <c r="I9" s="188">
        <v>50300</v>
      </c>
      <c r="J9" s="290"/>
      <c r="K9" s="188"/>
      <c r="L9" s="188"/>
      <c r="M9" s="188"/>
      <c r="N9" s="165"/>
      <c r="O9" s="153"/>
      <c r="P9" s="125"/>
    </row>
    <row r="10" spans="1:16" x14ac:dyDescent="0.25">
      <c r="A10" s="186" t="str">
        <f>"3120"</f>
        <v>3120</v>
      </c>
      <c r="B10" s="5" t="str">
        <f>"Intäkter kanothyra"</f>
        <v>Intäkter kanothyra</v>
      </c>
      <c r="C10" s="210">
        <v>14000</v>
      </c>
      <c r="D10" s="279">
        <v>10000</v>
      </c>
      <c r="E10" s="263">
        <v>13200</v>
      </c>
      <c r="F10" s="239">
        <f t="shared" ref="F10:F32" si="0">-(D10-E10)</f>
        <v>3200</v>
      </c>
      <c r="G10" s="239"/>
      <c r="H10" s="290">
        <v>8900</v>
      </c>
      <c r="I10" s="188">
        <v>11050</v>
      </c>
      <c r="J10" s="290">
        <v>20000</v>
      </c>
      <c r="K10" s="188">
        <v>14605</v>
      </c>
      <c r="L10" s="188">
        <v>24825</v>
      </c>
      <c r="M10" s="188">
        <v>15440</v>
      </c>
      <c r="N10" s="165">
        <v>13125</v>
      </c>
      <c r="O10" s="153">
        <v>17450</v>
      </c>
      <c r="P10" s="125">
        <v>13450</v>
      </c>
    </row>
    <row r="11" spans="1:16" x14ac:dyDescent="0.25">
      <c r="A11" s="186" t="str">
        <f>"3130"</f>
        <v>3130</v>
      </c>
      <c r="B11" s="5" t="str">
        <f>"Intäkter kanotplats"</f>
        <v>Intäkter kanotplats</v>
      </c>
      <c r="C11" s="210">
        <v>25000</v>
      </c>
      <c r="D11" s="279">
        <v>18300</v>
      </c>
      <c r="E11" s="263">
        <v>15650</v>
      </c>
      <c r="F11" s="239">
        <f t="shared" si="0"/>
        <v>-2650</v>
      </c>
      <c r="G11" s="239"/>
      <c r="H11" s="290">
        <v>18300</v>
      </c>
      <c r="I11" s="188">
        <v>20803.59</v>
      </c>
      <c r="J11" s="290">
        <v>19450</v>
      </c>
      <c r="K11" s="188">
        <v>22300</v>
      </c>
      <c r="L11" s="188">
        <v>21800</v>
      </c>
      <c r="M11" s="188">
        <v>24625</v>
      </c>
      <c r="N11" s="165">
        <v>23375</v>
      </c>
      <c r="O11" s="153">
        <v>17713</v>
      </c>
      <c r="P11" s="125">
        <v>18175</v>
      </c>
    </row>
    <row r="12" spans="1:16" x14ac:dyDescent="0.25">
      <c r="A12" s="186" t="str">
        <f>"3140"</f>
        <v>3140</v>
      </c>
      <c r="B12" s="5" t="s">
        <v>171</v>
      </c>
      <c r="C12" s="210">
        <v>45000</v>
      </c>
      <c r="D12" s="279">
        <v>70000</v>
      </c>
      <c r="E12" s="263">
        <v>41280</v>
      </c>
      <c r="F12" s="239">
        <f t="shared" si="0"/>
        <v>-28720</v>
      </c>
      <c r="G12" s="239"/>
      <c r="H12" s="290">
        <v>66520</v>
      </c>
      <c r="I12" s="188">
        <v>61190</v>
      </c>
      <c r="J12" s="290">
        <v>28330</v>
      </c>
      <c r="K12" s="188">
        <v>13980</v>
      </c>
      <c r="L12" s="188">
        <v>19500</v>
      </c>
      <c r="M12" s="188">
        <v>17550</v>
      </c>
      <c r="N12" s="165">
        <v>25525</v>
      </c>
      <c r="O12" s="153">
        <v>35750</v>
      </c>
      <c r="P12" s="125">
        <v>24535</v>
      </c>
    </row>
    <row r="13" spans="1:16" x14ac:dyDescent="0.25">
      <c r="A13" s="186" t="str">
        <f>"3142"</f>
        <v>3142</v>
      </c>
      <c r="B13" s="5" t="str">
        <f>"Prova-på-paddling"</f>
        <v>Prova-på-paddling</v>
      </c>
      <c r="C13" s="210">
        <v>5000</v>
      </c>
      <c r="D13" s="279">
        <v>2000</v>
      </c>
      <c r="E13" s="263">
        <v>11850</v>
      </c>
      <c r="F13" s="239">
        <f t="shared" si="0"/>
        <v>9850</v>
      </c>
      <c r="G13" s="239"/>
      <c r="H13" s="290">
        <v>1700</v>
      </c>
      <c r="I13" s="188">
        <v>2100</v>
      </c>
      <c r="J13" s="290">
        <v>1300</v>
      </c>
      <c r="K13" s="188">
        <v>0</v>
      </c>
      <c r="L13" s="188">
        <v>10500</v>
      </c>
      <c r="M13" s="188">
        <v>13600</v>
      </c>
      <c r="N13" s="165">
        <v>12400</v>
      </c>
      <c r="O13" s="153">
        <v>18000</v>
      </c>
      <c r="P13" s="125">
        <v>7200</v>
      </c>
    </row>
    <row r="14" spans="1:16" x14ac:dyDescent="0.25">
      <c r="A14" s="186" t="s">
        <v>6</v>
      </c>
      <c r="B14" s="5" t="s">
        <v>7</v>
      </c>
      <c r="C14" s="210">
        <v>30000</v>
      </c>
      <c r="D14" s="279">
        <v>0</v>
      </c>
      <c r="E14" s="263">
        <v>30140</v>
      </c>
      <c r="F14" s="239">
        <f t="shared" si="0"/>
        <v>30140</v>
      </c>
      <c r="G14" s="239"/>
      <c r="H14" s="290"/>
      <c r="I14" s="188">
        <v>0</v>
      </c>
      <c r="J14" s="290">
        <v>2150</v>
      </c>
      <c r="K14" s="188">
        <v>5100</v>
      </c>
      <c r="L14" s="188">
        <v>4700</v>
      </c>
      <c r="M14" s="188">
        <v>16200</v>
      </c>
      <c r="N14" s="165">
        <v>6000</v>
      </c>
      <c r="O14" s="153">
        <v>3100</v>
      </c>
      <c r="P14" s="125">
        <v>7600</v>
      </c>
    </row>
    <row r="15" spans="1:16" x14ac:dyDescent="0.25">
      <c r="A15" s="186" t="str">
        <f>"3211"</f>
        <v>3211</v>
      </c>
      <c r="B15" s="5" t="str">
        <f>"Anmälningsavgifter"</f>
        <v>Anmälningsavgifter</v>
      </c>
      <c r="C15" s="210">
        <v>30000</v>
      </c>
      <c r="D15" s="279">
        <v>25000</v>
      </c>
      <c r="E15" s="263">
        <v>30919</v>
      </c>
      <c r="F15" s="255">
        <f t="shared" si="0"/>
        <v>5919</v>
      </c>
      <c r="G15" s="239"/>
      <c r="H15" s="290">
        <v>22800</v>
      </c>
      <c r="I15" s="188">
        <v>14275</v>
      </c>
      <c r="J15" s="290">
        <v>29875</v>
      </c>
      <c r="K15" s="188">
        <v>11980</v>
      </c>
      <c r="L15" s="188">
        <v>7425</v>
      </c>
      <c r="M15" s="188">
        <v>7800</v>
      </c>
      <c r="N15" s="165">
        <v>6400</v>
      </c>
      <c r="O15" s="153">
        <v>12000</v>
      </c>
      <c r="P15" s="125">
        <v>13120</v>
      </c>
    </row>
    <row r="16" spans="1:16" x14ac:dyDescent="0.25">
      <c r="A16" s="186" t="str">
        <f>"3212"</f>
        <v>3212</v>
      </c>
      <c r="B16" s="5" t="str">
        <f>"Transportavgift"</f>
        <v>Transportavgift</v>
      </c>
      <c r="C16" s="210"/>
      <c r="D16" s="279"/>
      <c r="E16" s="263"/>
      <c r="F16" s="239">
        <f t="shared" si="0"/>
        <v>0</v>
      </c>
      <c r="G16" s="239"/>
      <c r="H16" s="290"/>
      <c r="I16" s="188"/>
      <c r="J16" s="290"/>
      <c r="K16" s="188"/>
      <c r="L16" s="188"/>
      <c r="M16" s="188"/>
      <c r="N16" s="165">
        <v>400</v>
      </c>
      <c r="O16" s="153">
        <v>100</v>
      </c>
      <c r="P16" s="125">
        <v>1800</v>
      </c>
    </row>
    <row r="17" spans="1:19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40000</v>
      </c>
      <c r="D17" s="279">
        <v>36000</v>
      </c>
      <c r="E17" s="263">
        <v>44240</v>
      </c>
      <c r="F17" s="255">
        <f t="shared" si="0"/>
        <v>8240</v>
      </c>
      <c r="G17" s="239"/>
      <c r="H17" s="290">
        <v>34527</v>
      </c>
      <c r="I17" s="188">
        <v>7070</v>
      </c>
      <c r="J17" s="290">
        <v>42320</v>
      </c>
      <c r="K17" s="188">
        <v>46140</v>
      </c>
      <c r="L17" s="188">
        <v>10126.75</v>
      </c>
      <c r="M17" s="188">
        <v>7635</v>
      </c>
      <c r="N17" s="165">
        <v>5390</v>
      </c>
      <c r="O17" s="153">
        <v>12555</v>
      </c>
      <c r="P17" s="125">
        <v>2400</v>
      </c>
    </row>
    <row r="18" spans="1:19" x14ac:dyDescent="0.25">
      <c r="A18" s="186" t="s">
        <v>172</v>
      </c>
      <c r="B18" s="5" t="s">
        <v>173</v>
      </c>
      <c r="C18" s="210">
        <v>0</v>
      </c>
      <c r="D18" s="279">
        <v>0</v>
      </c>
      <c r="E18" s="263">
        <v>0</v>
      </c>
      <c r="F18" s="255">
        <f t="shared" si="0"/>
        <v>0</v>
      </c>
      <c r="G18" s="239"/>
      <c r="H18" s="290">
        <v>3300</v>
      </c>
      <c r="I18" s="188"/>
      <c r="J18" s="290"/>
      <c r="K18" s="188"/>
      <c r="L18" s="188"/>
      <c r="M18" s="188"/>
      <c r="N18" s="165"/>
      <c r="O18" s="153"/>
      <c r="P18" s="125"/>
    </row>
    <row r="19" spans="1:19" x14ac:dyDescent="0.25">
      <c r="A19" s="186" t="str">
        <f>"3221"</f>
        <v>3221</v>
      </c>
      <c r="B19" s="5" t="s">
        <v>122</v>
      </c>
      <c r="C19" s="210">
        <v>25000</v>
      </c>
      <c r="D19" s="279">
        <v>0</v>
      </c>
      <c r="E19" s="263">
        <v>25000</v>
      </c>
      <c r="F19" s="239">
        <f t="shared" si="0"/>
        <v>25000</v>
      </c>
      <c r="G19" s="239"/>
      <c r="H19" s="290"/>
      <c r="I19" s="188">
        <v>0</v>
      </c>
      <c r="J19" s="290">
        <v>9750</v>
      </c>
      <c r="K19" s="188">
        <v>2200</v>
      </c>
      <c r="L19" s="188">
        <v>8900</v>
      </c>
      <c r="M19" s="188">
        <v>9850</v>
      </c>
      <c r="N19" s="165">
        <v>8200</v>
      </c>
      <c r="O19" s="153">
        <v>5450</v>
      </c>
      <c r="P19" s="125">
        <v>1650</v>
      </c>
    </row>
    <row r="20" spans="1:19" x14ac:dyDescent="0.25">
      <c r="A20" s="186" t="s">
        <v>11</v>
      </c>
      <c r="B20" s="5" t="s">
        <v>123</v>
      </c>
      <c r="C20" s="210"/>
      <c r="D20" s="279"/>
      <c r="E20" s="263"/>
      <c r="F20" s="239">
        <f t="shared" si="0"/>
        <v>0</v>
      </c>
      <c r="G20" s="239"/>
      <c r="H20" s="290"/>
      <c r="I20" s="188"/>
      <c r="J20" s="290"/>
      <c r="K20" s="188"/>
      <c r="L20" s="188"/>
      <c r="M20" s="188"/>
      <c r="N20" s="165"/>
      <c r="O20" s="153"/>
      <c r="P20" s="125"/>
    </row>
    <row r="21" spans="1:19" x14ac:dyDescent="0.25">
      <c r="A21" s="186" t="str">
        <f>"3223"</f>
        <v>3223</v>
      </c>
      <c r="B21" s="5" t="str">
        <f>"Intäkter SM läger"</f>
        <v>Intäkter SM läger</v>
      </c>
      <c r="C21" s="210">
        <v>25000</v>
      </c>
      <c r="D21" s="279">
        <v>50000</v>
      </c>
      <c r="E21" s="263">
        <v>22000</v>
      </c>
      <c r="F21" s="255">
        <f t="shared" si="0"/>
        <v>-28000</v>
      </c>
      <c r="G21" s="239"/>
      <c r="H21" s="290"/>
      <c r="I21" s="188">
        <v>0</v>
      </c>
      <c r="J21" s="290">
        <v>46850</v>
      </c>
      <c r="K21" s="188">
        <v>22540</v>
      </c>
      <c r="L21" s="188">
        <v>22500</v>
      </c>
      <c r="M21" s="188">
        <v>17100</v>
      </c>
      <c r="N21" s="165">
        <v>18000</v>
      </c>
      <c r="O21" s="153">
        <v>7500</v>
      </c>
      <c r="P21" s="125">
        <v>8400</v>
      </c>
    </row>
    <row r="22" spans="1:19" x14ac:dyDescent="0.25">
      <c r="A22" s="186" t="s">
        <v>13</v>
      </c>
      <c r="B22" s="5" t="s">
        <v>157</v>
      </c>
      <c r="C22" s="210">
        <v>0</v>
      </c>
      <c r="D22" s="279"/>
      <c r="E22" s="263">
        <v>0</v>
      </c>
      <c r="F22" s="255">
        <f t="shared" si="0"/>
        <v>0</v>
      </c>
      <c r="G22" s="239"/>
      <c r="H22" s="290">
        <v>0</v>
      </c>
      <c r="I22" s="188">
        <v>0</v>
      </c>
      <c r="J22" s="290">
        <v>60814</v>
      </c>
      <c r="K22" s="188">
        <v>24271</v>
      </c>
      <c r="L22" s="188">
        <v>4052</v>
      </c>
      <c r="M22" s="188"/>
      <c r="N22" s="165">
        <v>5434</v>
      </c>
      <c r="O22" s="153">
        <v>11030</v>
      </c>
      <c r="P22" s="125">
        <v>13415.5</v>
      </c>
    </row>
    <row r="23" spans="1:19" x14ac:dyDescent="0.25">
      <c r="A23" s="186" t="s">
        <v>130</v>
      </c>
      <c r="B23" s="5" t="s">
        <v>131</v>
      </c>
      <c r="C23" s="210">
        <v>0</v>
      </c>
      <c r="D23" s="279"/>
      <c r="E23" s="263">
        <v>0</v>
      </c>
      <c r="F23" s="255">
        <f t="shared" si="0"/>
        <v>0</v>
      </c>
      <c r="G23" s="239"/>
      <c r="H23" s="290">
        <v>0</v>
      </c>
      <c r="I23" s="188">
        <v>8250</v>
      </c>
      <c r="J23" s="290">
        <v>7247</v>
      </c>
      <c r="K23" s="188">
        <v>7248</v>
      </c>
      <c r="L23" s="188">
        <v>0</v>
      </c>
      <c r="M23" s="188"/>
      <c r="N23" s="165"/>
      <c r="O23" s="153"/>
      <c r="P23" s="125"/>
    </row>
    <row r="24" spans="1:19" x14ac:dyDescent="0.25">
      <c r="A24" s="186" t="s">
        <v>158</v>
      </c>
      <c r="B24" s="5" t="s">
        <v>159</v>
      </c>
      <c r="C24" s="210">
        <v>30000</v>
      </c>
      <c r="D24" s="279">
        <v>50000</v>
      </c>
      <c r="E24" s="263">
        <v>3250</v>
      </c>
      <c r="F24" s="255">
        <f t="shared" si="0"/>
        <v>-46750</v>
      </c>
      <c r="G24" s="239"/>
      <c r="H24" s="290">
        <v>0</v>
      </c>
      <c r="I24" s="188">
        <v>12699.5</v>
      </c>
      <c r="J24" s="290"/>
      <c r="K24" s="188"/>
      <c r="L24" s="188"/>
      <c r="M24" s="188"/>
      <c r="N24" s="165"/>
      <c r="O24" s="153"/>
      <c r="P24" s="125"/>
    </row>
    <row r="25" spans="1:19" x14ac:dyDescent="0.25">
      <c r="A25" s="186" t="str">
        <f>"3310"</f>
        <v>3310</v>
      </c>
      <c r="B25" s="5" t="s">
        <v>160</v>
      </c>
      <c r="C25" s="210">
        <v>3000</v>
      </c>
      <c r="D25" s="279">
        <v>3000</v>
      </c>
      <c r="E25" s="263">
        <v>2844</v>
      </c>
      <c r="F25" s="255">
        <f t="shared" si="0"/>
        <v>-156</v>
      </c>
      <c r="G25" s="239"/>
      <c r="H25" s="290">
        <v>2759</v>
      </c>
      <c r="I25" s="188">
        <v>3058</v>
      </c>
      <c r="J25" s="290">
        <v>3254</v>
      </c>
      <c r="K25" s="188">
        <v>2694</v>
      </c>
      <c r="L25" s="188">
        <v>3787</v>
      </c>
      <c r="M25" s="188">
        <v>910</v>
      </c>
      <c r="N25" s="165">
        <v>1092</v>
      </c>
      <c r="O25" s="153">
        <v>3943</v>
      </c>
      <c r="P25" s="125">
        <v>2388</v>
      </c>
    </row>
    <row r="26" spans="1:19" x14ac:dyDescent="0.25">
      <c r="A26" s="186" t="s">
        <v>15</v>
      </c>
      <c r="B26" s="5" t="s">
        <v>16</v>
      </c>
      <c r="C26" s="210"/>
      <c r="D26" s="279"/>
      <c r="E26" s="263"/>
      <c r="F26" s="239">
        <f t="shared" si="0"/>
        <v>0</v>
      </c>
      <c r="G26" s="239"/>
      <c r="H26" s="290"/>
      <c r="I26" s="188"/>
      <c r="J26" s="290"/>
      <c r="K26" s="188"/>
      <c r="L26" s="188"/>
      <c r="M26" s="188"/>
      <c r="N26" s="165"/>
      <c r="O26" s="153"/>
      <c r="P26" s="125"/>
    </row>
    <row r="27" spans="1:19" x14ac:dyDescent="0.25">
      <c r="A27" s="186" t="str">
        <f>"3420"</f>
        <v>3420</v>
      </c>
      <c r="B27" s="5" t="str">
        <f>"Intäkter Sponsorer"</f>
        <v>Intäkter Sponsorer</v>
      </c>
      <c r="C27" s="210">
        <v>45000</v>
      </c>
      <c r="D27" s="279">
        <v>45000</v>
      </c>
      <c r="E27" s="263">
        <v>35500</v>
      </c>
      <c r="F27" s="239">
        <f t="shared" si="0"/>
        <v>-9500</v>
      </c>
      <c r="G27" s="239"/>
      <c r="H27" s="290">
        <v>44500</v>
      </c>
      <c r="I27" s="188">
        <v>40500</v>
      </c>
      <c r="J27" s="290">
        <v>39000</v>
      </c>
      <c r="K27" s="188">
        <v>38500</v>
      </c>
      <c r="L27" s="188">
        <v>49385</v>
      </c>
      <c r="M27" s="188">
        <v>37000</v>
      </c>
      <c r="N27" s="165">
        <v>54000</v>
      </c>
      <c r="O27" s="153">
        <v>62570</v>
      </c>
      <c r="P27" s="125">
        <v>41400</v>
      </c>
      <c r="R27" s="4"/>
      <c r="S27" s="4"/>
    </row>
    <row r="28" spans="1:19" x14ac:dyDescent="0.25">
      <c r="A28" s="186" t="str">
        <f>"3421"</f>
        <v>3421</v>
      </c>
      <c r="B28" s="5" t="s">
        <v>161</v>
      </c>
      <c r="C28" s="210">
        <v>30000</v>
      </c>
      <c r="D28" s="279">
        <v>30000</v>
      </c>
      <c r="E28" s="263">
        <v>30000</v>
      </c>
      <c r="F28" s="255">
        <f t="shared" si="0"/>
        <v>0</v>
      </c>
      <c r="G28" s="239"/>
      <c r="H28" s="290">
        <v>30000</v>
      </c>
      <c r="I28" s="188">
        <v>30000</v>
      </c>
      <c r="J28" s="290">
        <v>30000</v>
      </c>
      <c r="K28" s="188">
        <v>62500</v>
      </c>
      <c r="L28" s="188">
        <v>24000</v>
      </c>
      <c r="M28" s="188">
        <v>93000</v>
      </c>
      <c r="N28" s="165">
        <v>28000</v>
      </c>
      <c r="O28" s="153">
        <v>73000</v>
      </c>
      <c r="P28" s="125">
        <v>28000</v>
      </c>
    </row>
    <row r="29" spans="1:19" x14ac:dyDescent="0.25">
      <c r="A29" s="186" t="s">
        <v>18</v>
      </c>
      <c r="B29" s="5" t="s">
        <v>19</v>
      </c>
      <c r="C29" s="210">
        <v>0</v>
      </c>
      <c r="D29" s="279">
        <v>0</v>
      </c>
      <c r="E29" s="263">
        <v>5000</v>
      </c>
      <c r="F29" s="255">
        <f t="shared" si="0"/>
        <v>5000</v>
      </c>
      <c r="G29" s="239"/>
      <c r="H29" s="290"/>
      <c r="I29" s="188">
        <v>0</v>
      </c>
      <c r="J29" s="290">
        <v>51248</v>
      </c>
      <c r="K29" s="188">
        <v>35000</v>
      </c>
      <c r="L29" s="188">
        <v>29500</v>
      </c>
      <c r="M29" s="188">
        <v>27000</v>
      </c>
      <c r="N29" s="165">
        <v>28775.33</v>
      </c>
      <c r="O29" s="153">
        <v>26179</v>
      </c>
      <c r="P29" s="125">
        <v>50350</v>
      </c>
    </row>
    <row r="30" spans="1:19" x14ac:dyDescent="0.25">
      <c r="A30" s="186" t="str">
        <f>"3430"</f>
        <v>3430</v>
      </c>
      <c r="B30" s="5" t="str">
        <f>"Intäkter föräldrarföreningen"</f>
        <v>Intäkter föräldrarföreningen</v>
      </c>
      <c r="C30" s="210">
        <v>0</v>
      </c>
      <c r="D30" s="279">
        <v>0</v>
      </c>
      <c r="E30" s="263"/>
      <c r="F30" s="239">
        <f t="shared" si="0"/>
        <v>0</v>
      </c>
      <c r="G30" s="239"/>
      <c r="H30" s="290"/>
      <c r="I30" s="188">
        <v>0</v>
      </c>
      <c r="J30" s="290">
        <v>30693</v>
      </c>
      <c r="K30" s="188"/>
      <c r="L30" s="188"/>
      <c r="M30" s="188"/>
      <c r="N30" s="165"/>
      <c r="O30" s="153"/>
      <c r="P30" s="127"/>
    </row>
    <row r="31" spans="1:19" x14ac:dyDescent="0.25">
      <c r="A31" s="186" t="str">
        <f>"3520"</f>
        <v>3520</v>
      </c>
      <c r="B31" s="5" t="str">
        <f>"Intäkter Kanotförsäkring"</f>
        <v>Intäkter Kanotförsäkring</v>
      </c>
      <c r="C31" s="210"/>
      <c r="D31" s="279"/>
      <c r="E31" s="263"/>
      <c r="F31" s="239">
        <f t="shared" si="0"/>
        <v>0</v>
      </c>
      <c r="G31" s="239"/>
      <c r="H31" s="290"/>
      <c r="I31" s="188"/>
      <c r="J31" s="290"/>
      <c r="K31" s="188"/>
      <c r="L31" s="188"/>
      <c r="M31" s="188">
        <v>430</v>
      </c>
      <c r="N31" s="165">
        <v>2100</v>
      </c>
      <c r="O31" s="153">
        <v>3458</v>
      </c>
      <c r="P31" s="127">
        <v>3830</v>
      </c>
    </row>
    <row r="32" spans="1:19" x14ac:dyDescent="0.25">
      <c r="A32" s="186" t="s">
        <v>95</v>
      </c>
      <c r="B32" s="5" t="s">
        <v>150</v>
      </c>
      <c r="C32" s="210">
        <v>35000</v>
      </c>
      <c r="D32" s="279">
        <v>50000</v>
      </c>
      <c r="E32" s="263">
        <v>30575</v>
      </c>
      <c r="F32" s="239">
        <f t="shared" si="0"/>
        <v>-19425</v>
      </c>
      <c r="G32" s="239"/>
      <c r="H32" s="290">
        <v>87517</v>
      </c>
      <c r="I32" s="188">
        <v>4559</v>
      </c>
      <c r="J32" s="290">
        <v>17369</v>
      </c>
      <c r="K32" s="188"/>
      <c r="L32" s="188"/>
      <c r="M32" s="188"/>
      <c r="N32" s="165"/>
      <c r="O32" s="153"/>
      <c r="P32" s="127"/>
    </row>
    <row r="33" spans="1:20" x14ac:dyDescent="0.25">
      <c r="A33" s="186" t="s">
        <v>133</v>
      </c>
      <c r="B33" s="5" t="s">
        <v>134</v>
      </c>
      <c r="C33" s="210"/>
      <c r="D33" s="279"/>
      <c r="E33" s="263"/>
      <c r="F33" s="239"/>
      <c r="G33" s="239"/>
      <c r="H33" s="290"/>
      <c r="I33" s="188"/>
      <c r="J33" s="290"/>
      <c r="K33" s="188"/>
      <c r="L33" s="188">
        <v>1200</v>
      </c>
      <c r="M33" s="188"/>
      <c r="N33" s="165"/>
      <c r="O33" s="153"/>
      <c r="P33" s="127"/>
    </row>
    <row r="34" spans="1:20" x14ac:dyDescent="0.25">
      <c r="A34" s="186" t="s">
        <v>20</v>
      </c>
      <c r="B34" s="5" t="s">
        <v>21</v>
      </c>
      <c r="C34" s="210"/>
      <c r="D34" s="279"/>
      <c r="E34" s="263"/>
      <c r="F34" s="239">
        <f>-(D34-E34)</f>
        <v>0</v>
      </c>
      <c r="G34" s="239"/>
      <c r="H34" s="290"/>
      <c r="I34" s="188"/>
      <c r="J34" s="290"/>
      <c r="K34" s="188"/>
      <c r="L34" s="188"/>
      <c r="M34" s="188"/>
      <c r="N34" s="165"/>
      <c r="O34" s="153">
        <v>61624</v>
      </c>
      <c r="P34" s="127"/>
    </row>
    <row r="35" spans="1:20" x14ac:dyDescent="0.25">
      <c r="A35" s="186" t="str">
        <f>"3710"</f>
        <v>3710</v>
      </c>
      <c r="B35" s="5" t="str">
        <f>"Kommunala bidrag"</f>
        <v>Kommunala bidrag</v>
      </c>
      <c r="C35" s="210">
        <v>85000</v>
      </c>
      <c r="D35" s="279">
        <v>80000</v>
      </c>
      <c r="E35" s="263">
        <v>87386</v>
      </c>
      <c r="F35" s="255">
        <f>-(D35-E35)</f>
        <v>7386</v>
      </c>
      <c r="G35" s="239"/>
      <c r="H35" s="290">
        <v>75387</v>
      </c>
      <c r="I35" s="188">
        <v>93899</v>
      </c>
      <c r="J35" s="290">
        <v>76399</v>
      </c>
      <c r="K35" s="188">
        <v>53067</v>
      </c>
      <c r="L35" s="188">
        <v>71801</v>
      </c>
      <c r="M35" s="188">
        <v>51130</v>
      </c>
      <c r="N35" s="165">
        <v>54852</v>
      </c>
      <c r="O35" s="153">
        <v>52860</v>
      </c>
      <c r="P35" s="127">
        <v>51090</v>
      </c>
    </row>
    <row r="36" spans="1:20" x14ac:dyDescent="0.25">
      <c r="A36" s="186" t="s">
        <v>162</v>
      </c>
      <c r="B36" s="5" t="s">
        <v>163</v>
      </c>
      <c r="C36" s="210">
        <v>20000</v>
      </c>
      <c r="D36" s="279"/>
      <c r="E36" s="263">
        <v>46752.34</v>
      </c>
      <c r="F36" s="255">
        <f>-(D36-E36)</f>
        <v>46752.34</v>
      </c>
      <c r="G36" s="239"/>
      <c r="H36" s="290">
        <v>24019</v>
      </c>
      <c r="I36" s="188">
        <v>82060</v>
      </c>
      <c r="J36" s="290"/>
      <c r="K36" s="188"/>
      <c r="L36" s="188"/>
      <c r="M36" s="188"/>
      <c r="N36" s="165"/>
      <c r="O36" s="153"/>
      <c r="P36" s="127"/>
    </row>
    <row r="37" spans="1:20" x14ac:dyDescent="0.25">
      <c r="A37" s="186" t="str">
        <f>"3730"</f>
        <v>3730</v>
      </c>
      <c r="B37" s="5" t="str">
        <f>"LOK-stöd Riksidrottsförbundet"</f>
        <v>LOK-stöd Riksidrottsförbundet</v>
      </c>
      <c r="C37" s="210">
        <v>60000</v>
      </c>
      <c r="D37" s="279">
        <v>55000</v>
      </c>
      <c r="E37" s="263">
        <v>63577</v>
      </c>
      <c r="F37" s="255">
        <f>-(D37-E37)</f>
        <v>8577</v>
      </c>
      <c r="G37" s="239"/>
      <c r="H37" s="290">
        <v>32728.05</v>
      </c>
      <c r="I37" s="188">
        <v>53929.18</v>
      </c>
      <c r="J37" s="290">
        <v>40855.599999999999</v>
      </c>
      <c r="K37" s="188">
        <v>48410.75</v>
      </c>
      <c r="L37" s="188">
        <v>54186</v>
      </c>
      <c r="M37" s="188">
        <v>40408</v>
      </c>
      <c r="N37" s="165">
        <v>36836</v>
      </c>
      <c r="O37" s="153">
        <v>33824</v>
      </c>
      <c r="P37" s="127">
        <v>39430</v>
      </c>
    </row>
    <row r="38" spans="1:20" x14ac:dyDescent="0.25">
      <c r="A38" s="186" t="s">
        <v>135</v>
      </c>
      <c r="B38" s="5" t="s">
        <v>136</v>
      </c>
      <c r="C38" s="210">
        <v>0</v>
      </c>
      <c r="D38" s="279">
        <v>0</v>
      </c>
      <c r="E38" s="263">
        <v>0</v>
      </c>
      <c r="F38" s="255">
        <f>-(D38-E38)</f>
        <v>0</v>
      </c>
      <c r="G38" s="239"/>
      <c r="H38" s="290">
        <v>9529</v>
      </c>
      <c r="I38" s="188">
        <v>0</v>
      </c>
      <c r="J38" s="290">
        <v>0</v>
      </c>
      <c r="K38" s="188"/>
      <c r="L38" s="188">
        <v>108000</v>
      </c>
      <c r="M38" s="188"/>
      <c r="N38" s="165"/>
      <c r="O38" s="153"/>
      <c r="P38" s="127"/>
    </row>
    <row r="39" spans="1:20" x14ac:dyDescent="0.25">
      <c r="A39" s="186" t="str">
        <f>"3790"</f>
        <v>3790</v>
      </c>
      <c r="B39" s="5" t="s">
        <v>182</v>
      </c>
      <c r="C39" s="210">
        <v>5000</v>
      </c>
      <c r="D39" s="279">
        <v>0</v>
      </c>
      <c r="E39" s="263">
        <v>14600</v>
      </c>
      <c r="F39" s="255">
        <f t="shared" ref="F39:F41" si="1">-(D39-E39)</f>
        <v>14600</v>
      </c>
      <c r="G39" s="239"/>
      <c r="H39" s="290">
        <v>5000</v>
      </c>
      <c r="I39" s="188"/>
      <c r="J39" s="290"/>
      <c r="K39" s="188"/>
      <c r="L39" s="188"/>
      <c r="M39" s="188"/>
      <c r="N39" s="165"/>
      <c r="O39" s="153"/>
      <c r="P39" s="127"/>
      <c r="T39" s="4"/>
    </row>
    <row r="40" spans="1:20" x14ac:dyDescent="0.25">
      <c r="A40" s="26"/>
      <c r="B40" s="6"/>
      <c r="C40" s="210"/>
      <c r="D40" s="279"/>
      <c r="E40" s="263"/>
      <c r="F40" s="255"/>
      <c r="G40" s="239"/>
      <c r="H40" s="290"/>
      <c r="I40" s="188"/>
      <c r="J40" s="290"/>
      <c r="K40" s="188"/>
      <c r="L40" s="188"/>
      <c r="M40" s="188"/>
      <c r="N40" s="165"/>
      <c r="O40" s="153"/>
      <c r="P40" s="127"/>
    </row>
    <row r="41" spans="1:20" s="1" customFormat="1" ht="15.75" thickBot="1" x14ac:dyDescent="0.3">
      <c r="A41" s="27" t="str">
        <f>"S:a Nettoomsättning"</f>
        <v>S:a Nettoomsättning</v>
      </c>
      <c r="B41" s="14"/>
      <c r="C41" s="209">
        <f>SUM(C8:C39)</f>
        <v>634000</v>
      </c>
      <c r="D41" s="281">
        <f>SUM(D8:D40)</f>
        <v>601300</v>
      </c>
      <c r="E41" s="265">
        <f>SUM(E8:E40)</f>
        <v>634863.34</v>
      </c>
      <c r="F41" s="292">
        <f t="shared" si="1"/>
        <v>33563.339999999967</v>
      </c>
      <c r="G41" s="240"/>
      <c r="H41" s="292">
        <f>SUM(H8:H40)</f>
        <v>542786.05000000005</v>
      </c>
      <c r="I41" s="189">
        <v>520343.26999999996</v>
      </c>
      <c r="J41" s="292">
        <f>SUM(J8:J40)</f>
        <v>645019.6</v>
      </c>
      <c r="K41" s="189">
        <f>SUM(K8:K40)</f>
        <v>493735.75</v>
      </c>
      <c r="L41" s="189">
        <f>SUM(L8:L40)</f>
        <v>571737.75</v>
      </c>
      <c r="M41" s="189">
        <f>SUM(M8:M40)</f>
        <v>473728</v>
      </c>
      <c r="N41" s="167">
        <f>SUM(N8:N39)</f>
        <v>422129.33</v>
      </c>
      <c r="O41" s="154">
        <f>SUM(O8:O39)</f>
        <v>549106</v>
      </c>
      <c r="P41" s="119">
        <f>SUM(P8:P39)</f>
        <v>411883.5</v>
      </c>
      <c r="T41" s="120"/>
    </row>
    <row r="42" spans="1:20" x14ac:dyDescent="0.25">
      <c r="A42" s="19"/>
      <c r="B42" s="20"/>
      <c r="C42" s="205"/>
      <c r="D42" s="282"/>
      <c r="E42" s="266"/>
      <c r="F42" s="241"/>
      <c r="G42" s="241"/>
      <c r="H42" s="293"/>
      <c r="I42" s="190"/>
      <c r="J42" s="293"/>
      <c r="K42" s="190"/>
      <c r="L42" s="190"/>
      <c r="M42" s="190"/>
      <c r="N42" s="168"/>
      <c r="O42" s="155"/>
      <c r="P42" s="128"/>
    </row>
    <row r="43" spans="1:20" x14ac:dyDescent="0.25">
      <c r="A43" s="22" t="str">
        <f>"Aktiverat arbete för egen räkning"</f>
        <v>Aktiverat arbete för egen räkning</v>
      </c>
      <c r="B43" s="6"/>
      <c r="C43" s="203"/>
      <c r="D43" s="278"/>
      <c r="E43" s="263"/>
      <c r="F43" s="239"/>
      <c r="G43" s="239"/>
      <c r="H43" s="290"/>
      <c r="I43" s="188"/>
      <c r="J43" s="290"/>
      <c r="K43" s="188"/>
      <c r="L43" s="188"/>
      <c r="M43" s="188"/>
      <c r="N43" s="6"/>
      <c r="O43" s="153"/>
      <c r="P43" s="129"/>
    </row>
    <row r="44" spans="1:20" x14ac:dyDescent="0.25">
      <c r="A44" s="186" t="str">
        <f>"3813"</f>
        <v>3813</v>
      </c>
      <c r="B44" s="5" t="s">
        <v>27</v>
      </c>
      <c r="C44" s="210">
        <v>0</v>
      </c>
      <c r="D44" s="279">
        <v>0</v>
      </c>
      <c r="E44" s="263">
        <v>0</v>
      </c>
      <c r="F44" s="239"/>
      <c r="G44" s="239"/>
      <c r="H44" s="290">
        <v>0</v>
      </c>
      <c r="I44" s="188">
        <v>0</v>
      </c>
      <c r="J44" s="290">
        <v>0</v>
      </c>
      <c r="K44" s="188">
        <v>0</v>
      </c>
      <c r="L44" s="188">
        <v>5500</v>
      </c>
      <c r="M44" s="188">
        <v>2000</v>
      </c>
      <c r="N44" s="153">
        <v>1000</v>
      </c>
      <c r="O44" s="153">
        <v>3350</v>
      </c>
      <c r="P44" s="127">
        <v>0</v>
      </c>
    </row>
    <row r="45" spans="1:20" x14ac:dyDescent="0.25">
      <c r="A45" s="187"/>
      <c r="B45" s="6"/>
      <c r="C45" s="210"/>
      <c r="D45" s="279"/>
      <c r="E45" s="263"/>
      <c r="F45" s="239"/>
      <c r="G45" s="239"/>
      <c r="H45" s="290"/>
      <c r="I45" s="188"/>
      <c r="J45" s="290"/>
      <c r="K45" s="188"/>
      <c r="L45" s="188"/>
      <c r="M45" s="188"/>
      <c r="N45" s="6"/>
      <c r="O45" s="153"/>
      <c r="P45" s="129"/>
    </row>
    <row r="46" spans="1:20" s="1" customFormat="1" ht="15.75" thickBot="1" x14ac:dyDescent="0.3">
      <c r="A46" s="27" t="str">
        <f>"S:a Aktiverat arbete för egen räkning"</f>
        <v>S:a Aktiverat arbete för egen räkning</v>
      </c>
      <c r="B46" s="14"/>
      <c r="C46" s="212">
        <v>0</v>
      </c>
      <c r="D46" s="283">
        <v>0</v>
      </c>
      <c r="E46" s="265">
        <f>SUM(E44:E45)</f>
        <v>0</v>
      </c>
      <c r="F46" s="240"/>
      <c r="G46" s="240"/>
      <c r="H46" s="292">
        <f>SUM(H44:H45)</f>
        <v>0</v>
      </c>
      <c r="I46" s="189">
        <v>0</v>
      </c>
      <c r="J46" s="292">
        <f>SUM(J44:J45)</f>
        <v>0</v>
      </c>
      <c r="K46" s="189">
        <f>SUM(K44:K45)</f>
        <v>0</v>
      </c>
      <c r="L46" s="189">
        <f>SUM(L44:L45)</f>
        <v>5500</v>
      </c>
      <c r="M46" s="189">
        <f>SUM(M44:M45)</f>
        <v>2000</v>
      </c>
      <c r="N46" s="109">
        <f>SUM(N44:N44)</f>
        <v>1000</v>
      </c>
      <c r="O46" s="109">
        <f>SUM(O44:O44)</f>
        <v>3350</v>
      </c>
      <c r="P46" s="119">
        <f>SUM(P44:P45)</f>
        <v>0</v>
      </c>
    </row>
    <row r="47" spans="1:20" x14ac:dyDescent="0.25">
      <c r="A47" s="19"/>
      <c r="B47" s="20"/>
      <c r="C47" s="205"/>
      <c r="D47" s="282"/>
      <c r="E47" s="266"/>
      <c r="F47" s="241"/>
      <c r="G47" s="241"/>
      <c r="H47" s="293"/>
      <c r="I47" s="190"/>
      <c r="J47" s="293"/>
      <c r="K47" s="190"/>
      <c r="L47" s="190"/>
      <c r="M47" s="190"/>
      <c r="N47" s="168"/>
      <c r="O47" s="155"/>
      <c r="P47" s="128"/>
    </row>
    <row r="48" spans="1:20" x14ac:dyDescent="0.25">
      <c r="A48" s="22" t="str">
        <f>"Övriga rörelseintäkter"</f>
        <v>Övriga rörelseintäkter</v>
      </c>
      <c r="B48" s="6"/>
      <c r="C48" s="203"/>
      <c r="D48" s="278"/>
      <c r="E48" s="263"/>
      <c r="F48" s="239"/>
      <c r="G48" s="239"/>
      <c r="H48" s="290"/>
      <c r="I48" s="188"/>
      <c r="J48" s="290"/>
      <c r="K48" s="188"/>
      <c r="L48" s="188"/>
      <c r="M48" s="188"/>
      <c r="N48" s="6"/>
      <c r="O48" s="153"/>
      <c r="P48" s="129"/>
    </row>
    <row r="49" spans="1:68" x14ac:dyDescent="0.25">
      <c r="A49" s="186" t="s">
        <v>137</v>
      </c>
      <c r="B49" s="6" t="s">
        <v>138</v>
      </c>
      <c r="C49" s="203"/>
      <c r="D49" s="278"/>
      <c r="E49" s="263">
        <v>0</v>
      </c>
      <c r="F49" s="239"/>
      <c r="G49" s="239"/>
      <c r="H49" s="290">
        <v>0</v>
      </c>
      <c r="I49" s="188">
        <v>0</v>
      </c>
      <c r="J49" s="290">
        <v>0</v>
      </c>
      <c r="K49" s="188">
        <v>22000</v>
      </c>
      <c r="L49" s="188"/>
      <c r="M49" s="188"/>
      <c r="N49" s="6"/>
      <c r="O49" s="153"/>
      <c r="P49" s="129"/>
    </row>
    <row r="50" spans="1:68" x14ac:dyDescent="0.25">
      <c r="A50" s="186" t="s">
        <v>183</v>
      </c>
      <c r="B50" s="6" t="s">
        <v>184</v>
      </c>
      <c r="C50" s="203"/>
      <c r="D50" s="278"/>
      <c r="E50" s="263">
        <v>15000</v>
      </c>
      <c r="F50" s="239"/>
      <c r="G50" s="239"/>
      <c r="H50" s="290"/>
      <c r="I50" s="188"/>
      <c r="J50" s="290"/>
      <c r="K50" s="188"/>
      <c r="L50" s="188"/>
      <c r="M50" s="188"/>
      <c r="N50" s="6"/>
      <c r="O50" s="153"/>
      <c r="P50" s="129"/>
    </row>
    <row r="51" spans="1:68" x14ac:dyDescent="0.25">
      <c r="A51" s="186" t="str">
        <f>"3990"</f>
        <v>3990</v>
      </c>
      <c r="B51" s="5" t="str">
        <f>"Övr ersättn och intäkter"</f>
        <v>Övr ersättn och intäkter</v>
      </c>
      <c r="C51" s="210">
        <v>0</v>
      </c>
      <c r="D51" s="279">
        <v>0</v>
      </c>
      <c r="E51" s="263">
        <v>0</v>
      </c>
      <c r="F51" s="239"/>
      <c r="G51" s="239"/>
      <c r="H51" s="290">
        <v>0</v>
      </c>
      <c r="I51" s="188">
        <v>0</v>
      </c>
      <c r="J51" s="290">
        <v>57992</v>
      </c>
      <c r="K51" s="188">
        <v>9363</v>
      </c>
      <c r="L51" s="188"/>
      <c r="M51" s="188"/>
      <c r="N51" s="169">
        <v>11103</v>
      </c>
      <c r="O51" s="153"/>
      <c r="P51" s="127"/>
    </row>
    <row r="52" spans="1:68" x14ac:dyDescent="0.25">
      <c r="A52" s="186" t="str">
        <f>"3992"</f>
        <v>3992</v>
      </c>
      <c r="B52" s="5" t="s">
        <v>28</v>
      </c>
      <c r="C52" s="210"/>
      <c r="D52" s="279"/>
      <c r="E52" s="263"/>
      <c r="F52" s="239"/>
      <c r="G52" s="239"/>
      <c r="H52" s="290"/>
      <c r="I52" s="188"/>
      <c r="J52" s="290"/>
      <c r="K52" s="188"/>
      <c r="L52" s="188"/>
      <c r="M52" s="188"/>
      <c r="N52" s="169"/>
      <c r="O52" s="153"/>
      <c r="P52" s="127"/>
    </row>
    <row r="53" spans="1:68" x14ac:dyDescent="0.25">
      <c r="A53" s="187">
        <v>3680</v>
      </c>
      <c r="B53" s="6" t="s">
        <v>29</v>
      </c>
      <c r="C53" s="210"/>
      <c r="D53" s="279"/>
      <c r="E53" s="263"/>
      <c r="F53" s="239"/>
      <c r="G53" s="239"/>
      <c r="H53" s="290"/>
      <c r="I53" s="188"/>
      <c r="J53" s="290"/>
      <c r="K53" s="188"/>
      <c r="L53" s="188"/>
      <c r="M53" s="188"/>
      <c r="N53" s="169"/>
      <c r="O53" s="153"/>
      <c r="P53" s="129"/>
    </row>
    <row r="54" spans="1:68" s="1" customFormat="1" ht="15.75" thickBot="1" x14ac:dyDescent="0.3">
      <c r="A54" s="27" t="str">
        <f>"S:a Övriga rörelseintäkter"</f>
        <v>S:a Övriga rörelseintäkter</v>
      </c>
      <c r="B54" s="14"/>
      <c r="C54" s="212">
        <v>0</v>
      </c>
      <c r="D54" s="283">
        <v>0</v>
      </c>
      <c r="E54" s="267">
        <f>SUM(E49:E53)</f>
        <v>15000</v>
      </c>
      <c r="F54" s="240"/>
      <c r="G54" s="240"/>
      <c r="H54" s="170">
        <f>SUM(H49:H53)</f>
        <v>0</v>
      </c>
      <c r="I54" s="189">
        <v>0</v>
      </c>
      <c r="J54" s="170">
        <f>SUM(J49:J53)</f>
        <v>57992</v>
      </c>
      <c r="K54" s="170">
        <f>SUM(K49:K53)</f>
        <v>31363</v>
      </c>
      <c r="L54" s="170">
        <f>SUM(L51:L53)</f>
        <v>0</v>
      </c>
      <c r="M54" s="170">
        <f>SUM(M51:M53)</f>
        <v>0</v>
      </c>
      <c r="N54" s="170">
        <f>SUM(N51:N53)</f>
        <v>11103</v>
      </c>
      <c r="O54" s="109">
        <f>SUM(O51:O53)</f>
        <v>0</v>
      </c>
      <c r="P54" s="119">
        <f>SUM(P51:P53)</f>
        <v>0</v>
      </c>
    </row>
    <row r="55" spans="1:68" x14ac:dyDescent="0.25">
      <c r="A55" s="19"/>
      <c r="B55" s="20"/>
      <c r="C55" s="205"/>
      <c r="D55" s="282"/>
      <c r="E55" s="266"/>
      <c r="F55" s="241"/>
      <c r="G55" s="241"/>
      <c r="H55" s="293"/>
      <c r="I55" s="190"/>
      <c r="J55" s="293"/>
      <c r="K55" s="190"/>
      <c r="L55" s="190"/>
      <c r="M55" s="190"/>
      <c r="N55" s="168"/>
      <c r="O55" s="155"/>
      <c r="P55" s="128"/>
    </row>
    <row r="56" spans="1:68" x14ac:dyDescent="0.25">
      <c r="A56" s="26"/>
      <c r="B56" s="6"/>
      <c r="C56" s="203"/>
      <c r="D56" s="278"/>
      <c r="E56" s="263"/>
      <c r="F56" s="239"/>
      <c r="G56" s="239"/>
      <c r="H56" s="290"/>
      <c r="I56" s="188"/>
      <c r="J56" s="290"/>
      <c r="K56" s="188"/>
      <c r="L56" s="188"/>
      <c r="M56" s="188"/>
      <c r="N56" s="6"/>
      <c r="O56" s="153"/>
      <c r="P56" s="129"/>
    </row>
    <row r="57" spans="1:68" s="2" customFormat="1" ht="15.75" thickBot="1" x14ac:dyDescent="0.3">
      <c r="A57" s="32" t="str">
        <f>"S:a Rörelseintäkter och lagerförändring"</f>
        <v>S:a Rörelseintäkter och lagerförändring</v>
      </c>
      <c r="B57" s="33"/>
      <c r="C57" s="147">
        <f>SUM(C41+C46+C54)</f>
        <v>634000</v>
      </c>
      <c r="D57" s="147">
        <f>D41+D46+D54</f>
        <v>601300</v>
      </c>
      <c r="E57" s="147">
        <f>E41+E46+E54</f>
        <v>649863.34</v>
      </c>
      <c r="F57" s="242">
        <f>E57-D57</f>
        <v>48563.339999999967</v>
      </c>
      <c r="G57" s="242"/>
      <c r="H57" s="163">
        <f>H41+H46+H54</f>
        <v>542786.05000000005</v>
      </c>
      <c r="I57" s="163">
        <v>520343.26999999996</v>
      </c>
      <c r="J57" s="163">
        <f>J41+J46+J54</f>
        <v>703011.6</v>
      </c>
      <c r="K57" s="163">
        <f t="shared" ref="K57:P57" si="2">K41+K46+K54</f>
        <v>525098.75</v>
      </c>
      <c r="L57" s="163">
        <f t="shared" si="2"/>
        <v>577237.75</v>
      </c>
      <c r="M57" s="163">
        <f t="shared" si="2"/>
        <v>475728</v>
      </c>
      <c r="N57" s="147">
        <f t="shared" si="2"/>
        <v>434232.33</v>
      </c>
      <c r="O57" s="112">
        <f t="shared" si="2"/>
        <v>552456</v>
      </c>
      <c r="P57" s="111">
        <f t="shared" si="2"/>
        <v>411883.5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x14ac:dyDescent="0.25">
      <c r="A58" s="19"/>
      <c r="B58" s="20"/>
      <c r="C58" s="205"/>
      <c r="D58" s="282"/>
      <c r="E58" s="266"/>
      <c r="F58" s="241"/>
      <c r="G58" s="241"/>
      <c r="H58" s="293"/>
      <c r="I58" s="190"/>
      <c r="J58" s="293"/>
      <c r="K58" s="190"/>
      <c r="L58" s="190"/>
      <c r="M58" s="190"/>
      <c r="N58" s="168"/>
      <c r="O58" s="155"/>
      <c r="P58" s="128"/>
    </row>
    <row r="59" spans="1:68" x14ac:dyDescent="0.25">
      <c r="A59" s="22" t="str">
        <f>"Rörelsens kostnader"</f>
        <v>Rörelsens kostnader</v>
      </c>
      <c r="B59" s="6"/>
      <c r="C59" s="203"/>
      <c r="D59" s="278"/>
      <c r="E59" s="263"/>
      <c r="F59" s="239"/>
      <c r="G59" s="239"/>
      <c r="H59" s="290"/>
      <c r="I59" s="188"/>
      <c r="J59" s="290"/>
      <c r="K59" s="188"/>
      <c r="L59" s="188"/>
      <c r="M59" s="188"/>
      <c r="N59" s="6"/>
      <c r="O59" s="153"/>
      <c r="P59" s="129"/>
    </row>
    <row r="60" spans="1:68" x14ac:dyDescent="0.25">
      <c r="A60" s="22" t="str">
        <f>"Råvaror och förnödenheter mm"</f>
        <v>Råvaror och förnödenheter mm</v>
      </c>
      <c r="B60" s="6"/>
      <c r="C60" s="203"/>
      <c r="D60" s="278"/>
      <c r="E60" s="263"/>
      <c r="F60" s="239"/>
      <c r="G60" s="239"/>
      <c r="H60" s="290"/>
      <c r="I60" s="188"/>
      <c r="J60" s="290"/>
      <c r="K60" s="188"/>
      <c r="L60" s="188"/>
      <c r="M60" s="188"/>
      <c r="N60" s="6"/>
      <c r="O60" s="153"/>
      <c r="P60" s="129"/>
    </row>
    <row r="61" spans="1:68" x14ac:dyDescent="0.25">
      <c r="A61" s="24" t="s">
        <v>139</v>
      </c>
      <c r="B61" s="5" t="s">
        <v>140</v>
      </c>
      <c r="C61" s="210">
        <v>0</v>
      </c>
      <c r="D61" s="279">
        <v>0</v>
      </c>
      <c r="E61" s="263"/>
      <c r="F61" s="239">
        <f t="shared" ref="F61:F70" si="3">-(D61-E61)</f>
        <v>0</v>
      </c>
      <c r="G61" s="239"/>
      <c r="H61" s="290"/>
      <c r="I61" s="188">
        <v>0</v>
      </c>
      <c r="J61" s="290">
        <v>0</v>
      </c>
      <c r="K61" s="188">
        <v>-902.8</v>
      </c>
      <c r="L61" s="188"/>
      <c r="M61" s="188"/>
      <c r="N61" s="171"/>
      <c r="O61" s="153"/>
      <c r="P61" s="127"/>
    </row>
    <row r="62" spans="1:68" x14ac:dyDescent="0.25">
      <c r="A62" s="24" t="str">
        <f>"4011"</f>
        <v>4011</v>
      </c>
      <c r="B62" s="5" t="str">
        <f>"Anmälningsavgifter"</f>
        <v>Anmälningsavgifter</v>
      </c>
      <c r="C62" s="210">
        <v>-70000</v>
      </c>
      <c r="D62" s="279">
        <v>-60000</v>
      </c>
      <c r="E62" s="263">
        <v>-75575.460000000006</v>
      </c>
      <c r="F62" s="239">
        <f t="shared" si="3"/>
        <v>-15575.460000000006</v>
      </c>
      <c r="G62" s="239"/>
      <c r="H62" s="290">
        <v>-55430</v>
      </c>
      <c r="I62" s="188">
        <v>-21495</v>
      </c>
      <c r="J62" s="290">
        <v>-58541</v>
      </c>
      <c r="K62" s="188">
        <v>-47558</v>
      </c>
      <c r="L62" s="188">
        <v>-36647</v>
      </c>
      <c r="M62" s="188">
        <v>-32651</v>
      </c>
      <c r="N62" s="171">
        <v>-22460</v>
      </c>
      <c r="O62" s="153">
        <v>-38723</v>
      </c>
      <c r="P62" s="127">
        <v>-44933</v>
      </c>
    </row>
    <row r="63" spans="1:68" x14ac:dyDescent="0.25">
      <c r="A63" s="24" t="str">
        <f>"4012"</f>
        <v>4012</v>
      </c>
      <c r="B63" s="5" t="str">
        <f>"transportkostnader"</f>
        <v>transportkostnader</v>
      </c>
      <c r="C63" s="210">
        <v>-10000</v>
      </c>
      <c r="D63" s="279">
        <v>0</v>
      </c>
      <c r="E63" s="263">
        <v>-10084.43</v>
      </c>
      <c r="F63" s="255">
        <f t="shared" si="3"/>
        <v>-10084.43</v>
      </c>
      <c r="G63" s="239"/>
      <c r="H63" s="290"/>
      <c r="I63" s="188">
        <v>-2978</v>
      </c>
      <c r="J63" s="290">
        <v>-2860.91</v>
      </c>
      <c r="K63" s="188">
        <v>-5802</v>
      </c>
      <c r="L63" s="188"/>
      <c r="M63" s="188">
        <v>-4867</v>
      </c>
      <c r="N63" s="171">
        <v>-3587.5</v>
      </c>
      <c r="O63" s="153">
        <v>-3897.5</v>
      </c>
      <c r="P63" s="127">
        <v>-10378</v>
      </c>
    </row>
    <row r="64" spans="1:68" x14ac:dyDescent="0.25">
      <c r="A64" s="24" t="str">
        <f>"4013"</f>
        <v>4013</v>
      </c>
      <c r="B64" s="5" t="str">
        <f>"Kost och logi under tävlingar"</f>
        <v>Kost och logi under tävlingar</v>
      </c>
      <c r="C64" s="210">
        <v>-40000</v>
      </c>
      <c r="D64" s="279">
        <v>-36000</v>
      </c>
      <c r="E64" s="263">
        <v>-44520</v>
      </c>
      <c r="F64" s="239">
        <f t="shared" si="3"/>
        <v>-8520</v>
      </c>
      <c r="G64" s="239"/>
      <c r="H64" s="290">
        <v>-37100</v>
      </c>
      <c r="I64" s="188">
        <v>-7400</v>
      </c>
      <c r="J64" s="290">
        <v>-39765.21</v>
      </c>
      <c r="K64" s="188">
        <v>-48567.06</v>
      </c>
      <c r="L64" s="188">
        <v>-14830</v>
      </c>
      <c r="M64" s="188">
        <v>-11800</v>
      </c>
      <c r="N64" s="171">
        <v>-5360</v>
      </c>
      <c r="O64" s="153">
        <v>-12490</v>
      </c>
      <c r="P64" s="127">
        <v>-3540</v>
      </c>
    </row>
    <row r="65" spans="1:16" x14ac:dyDescent="0.25">
      <c r="A65" s="24" t="str">
        <f>"4014"</f>
        <v>4014</v>
      </c>
      <c r="B65" s="5" t="str">
        <f>"Övriga tävlingskostnader"</f>
        <v>Övriga tävlingskostnader</v>
      </c>
      <c r="C65" s="210">
        <v>-2000</v>
      </c>
      <c r="D65" s="279">
        <v>-1000</v>
      </c>
      <c r="E65" s="263">
        <v>-2815.56</v>
      </c>
      <c r="F65" s="239">
        <f t="shared" si="3"/>
        <v>-1815.56</v>
      </c>
      <c r="G65" s="239"/>
      <c r="H65" s="290">
        <v>-700</v>
      </c>
      <c r="I65" s="188">
        <v>-649</v>
      </c>
      <c r="J65" s="290"/>
      <c r="K65" s="188"/>
      <c r="L65" s="188"/>
      <c r="M65" s="188">
        <v>-3114</v>
      </c>
      <c r="N65" s="171"/>
      <c r="O65" s="153"/>
      <c r="P65" s="127"/>
    </row>
    <row r="66" spans="1:16" x14ac:dyDescent="0.25">
      <c r="A66" s="24" t="str">
        <f>"4020"</f>
        <v>4020</v>
      </c>
      <c r="B66" s="5" t="s">
        <v>175</v>
      </c>
      <c r="C66" s="210">
        <v>-6000</v>
      </c>
      <c r="D66" s="279">
        <v>0</v>
      </c>
      <c r="E66" s="263">
        <v>-6068</v>
      </c>
      <c r="F66" s="255">
        <f t="shared" si="3"/>
        <v>-6068</v>
      </c>
      <c r="G66" s="239"/>
      <c r="H66" s="290"/>
      <c r="I66" s="188">
        <v>0</v>
      </c>
      <c r="J66" s="290">
        <v>-19782.400000000001</v>
      </c>
      <c r="K66" s="188">
        <v>-1010</v>
      </c>
      <c r="L66" s="188">
        <v>-8635</v>
      </c>
      <c r="M66" s="188">
        <v>-8784</v>
      </c>
      <c r="N66" s="171">
        <v>-2060</v>
      </c>
      <c r="O66" s="153">
        <v>-1526</v>
      </c>
      <c r="P66" s="127">
        <v>-4627</v>
      </c>
    </row>
    <row r="67" spans="1:16" x14ac:dyDescent="0.25">
      <c r="A67" s="24" t="str">
        <f>"4021"</f>
        <v>4021</v>
      </c>
      <c r="B67" s="5" t="str">
        <f>"Anmälningsavgifter, Läger"</f>
        <v>Anmälningsavgifter, Läger</v>
      </c>
      <c r="C67" s="210">
        <v>-10000</v>
      </c>
      <c r="D67" s="279">
        <v>-10000</v>
      </c>
      <c r="E67" s="263">
        <v>-77188</v>
      </c>
      <c r="F67" s="239">
        <f t="shared" si="3"/>
        <v>-67188</v>
      </c>
      <c r="G67" s="239"/>
      <c r="H67" s="290">
        <v>-12800</v>
      </c>
      <c r="I67" s="188"/>
      <c r="J67" s="290"/>
      <c r="K67" s="188"/>
      <c r="L67" s="188"/>
      <c r="M67" s="188"/>
      <c r="N67" s="171"/>
      <c r="O67" s="153"/>
      <c r="P67" s="127"/>
    </row>
    <row r="68" spans="1:16" x14ac:dyDescent="0.25">
      <c r="A68" s="24" t="str">
        <f>"4022"</f>
        <v>4022</v>
      </c>
      <c r="B68" s="5" t="str">
        <f>"Transportkostnader, Läger"</f>
        <v>Transportkostnader, Läger</v>
      </c>
      <c r="C68" s="210">
        <v>0</v>
      </c>
      <c r="D68" s="279">
        <v>-1000</v>
      </c>
      <c r="E68" s="263"/>
      <c r="F68" s="239">
        <f t="shared" si="3"/>
        <v>1000</v>
      </c>
      <c r="G68" s="239"/>
      <c r="H68" s="290"/>
      <c r="I68" s="188"/>
      <c r="J68" s="290"/>
      <c r="K68" s="188"/>
      <c r="L68" s="188"/>
      <c r="M68" s="188"/>
      <c r="N68" s="171"/>
      <c r="O68" s="153"/>
      <c r="P68" s="127"/>
    </row>
    <row r="69" spans="1:16" x14ac:dyDescent="0.25">
      <c r="A69" s="24" t="s">
        <v>30</v>
      </c>
      <c r="B69" s="5" t="s">
        <v>125</v>
      </c>
      <c r="C69" s="210">
        <v>0</v>
      </c>
      <c r="D69" s="279">
        <v>0</v>
      </c>
      <c r="E69" s="263"/>
      <c r="F69" s="239">
        <f t="shared" si="3"/>
        <v>0</v>
      </c>
      <c r="G69" s="239"/>
      <c r="H69" s="290"/>
      <c r="I69" s="188">
        <v>0</v>
      </c>
      <c r="J69" s="290">
        <v>0</v>
      </c>
      <c r="K69" s="188">
        <v>-35531</v>
      </c>
      <c r="L69" s="188">
        <v>-40685</v>
      </c>
      <c r="M69" s="188"/>
      <c r="N69" s="171">
        <v>-1700</v>
      </c>
      <c r="O69" s="153"/>
      <c r="P69" s="127"/>
    </row>
    <row r="70" spans="1:16" x14ac:dyDescent="0.25">
      <c r="A70" s="24" t="str">
        <f>"4024"</f>
        <v>4024</v>
      </c>
      <c r="B70" s="5" t="str">
        <f>"SM läger"</f>
        <v>SM läger</v>
      </c>
      <c r="C70" s="210">
        <v>-60000</v>
      </c>
      <c r="D70" s="279">
        <v>-75000</v>
      </c>
      <c r="E70" s="263">
        <v>-54000</v>
      </c>
      <c r="F70" s="239">
        <f t="shared" si="3"/>
        <v>21000</v>
      </c>
      <c r="G70" s="239"/>
      <c r="H70" s="290"/>
      <c r="I70" s="188">
        <v>0</v>
      </c>
      <c r="J70" s="290">
        <v>-72670.100000000006</v>
      </c>
      <c r="K70" s="188">
        <v>-45362.8</v>
      </c>
      <c r="L70" s="188">
        <v>-57295</v>
      </c>
      <c r="M70" s="188">
        <v>-43666</v>
      </c>
      <c r="N70" s="171">
        <v>-33695</v>
      </c>
      <c r="O70" s="153">
        <v>-16960</v>
      </c>
      <c r="P70" s="127">
        <v>-22174</v>
      </c>
    </row>
    <row r="71" spans="1:16" x14ac:dyDescent="0.25">
      <c r="A71" s="24" t="s">
        <v>153</v>
      </c>
      <c r="B71" s="5" t="s">
        <v>154</v>
      </c>
      <c r="C71" s="210">
        <v>-10000</v>
      </c>
      <c r="D71" s="279">
        <v>-10000</v>
      </c>
      <c r="E71" s="263">
        <v>-10014.530000000001</v>
      </c>
      <c r="F71" s="239"/>
      <c r="G71" s="239"/>
      <c r="H71" s="290">
        <v>-6991.85</v>
      </c>
      <c r="I71" s="188">
        <v>-2490</v>
      </c>
      <c r="J71" s="290">
        <v>-9939.5300000000007</v>
      </c>
      <c r="K71" s="188"/>
      <c r="L71" s="188"/>
      <c r="M71" s="188"/>
      <c r="N71" s="171"/>
      <c r="O71" s="153"/>
      <c r="P71" s="127"/>
    </row>
    <row r="72" spans="1:16" ht="15" customHeight="1" x14ac:dyDescent="0.25">
      <c r="A72" s="24" t="s">
        <v>32</v>
      </c>
      <c r="B72" s="5" t="s">
        <v>164</v>
      </c>
      <c r="C72" s="210">
        <v>-80000</v>
      </c>
      <c r="D72" s="279">
        <v>-100000</v>
      </c>
      <c r="E72" s="263">
        <v>-48800</v>
      </c>
      <c r="F72" s="239">
        <f t="shared" ref="F72:F86" si="4">-(D72-E72)</f>
        <v>51200</v>
      </c>
      <c r="G72" s="239"/>
      <c r="H72" s="290">
        <v>-37785</v>
      </c>
      <c r="I72" s="188">
        <v>-23624</v>
      </c>
      <c r="J72" s="290">
        <v>-169881.18</v>
      </c>
      <c r="K72" s="188">
        <v>-66249.5</v>
      </c>
      <c r="L72" s="188">
        <v>-37771</v>
      </c>
      <c r="M72" s="188">
        <v>-35043</v>
      </c>
      <c r="N72" s="171">
        <v>-51908</v>
      </c>
      <c r="O72" s="153">
        <v>-68237</v>
      </c>
      <c r="P72" s="127">
        <v>-44493</v>
      </c>
    </row>
    <row r="73" spans="1:16" ht="15" customHeight="1" x14ac:dyDescent="0.25">
      <c r="A73" s="24" t="s">
        <v>165</v>
      </c>
      <c r="B73" s="5" t="s">
        <v>166</v>
      </c>
      <c r="C73" s="210">
        <v>-20000</v>
      </c>
      <c r="D73" s="279">
        <v>-30000</v>
      </c>
      <c r="E73" s="263">
        <v>-6500</v>
      </c>
      <c r="F73" s="239">
        <f t="shared" si="4"/>
        <v>23500</v>
      </c>
      <c r="G73" s="239"/>
      <c r="H73" s="290"/>
      <c r="I73" s="188">
        <v>-25399</v>
      </c>
      <c r="J73" s="290"/>
      <c r="K73" s="188"/>
      <c r="L73" s="188"/>
      <c r="M73" s="188"/>
      <c r="N73" s="171"/>
      <c r="O73" s="153"/>
      <c r="P73" s="127"/>
    </row>
    <row r="74" spans="1:16" x14ac:dyDescent="0.25">
      <c r="A74" s="24" t="str">
        <f>"4110"</f>
        <v>4110</v>
      </c>
      <c r="B74" s="5" t="str">
        <f>"Kostnader Kanotskolan"</f>
        <v>Kostnader Kanotskolan</v>
      </c>
      <c r="C74" s="210">
        <v>-10000</v>
      </c>
      <c r="D74" s="279">
        <v>-15000</v>
      </c>
      <c r="E74" s="263">
        <v>-10138</v>
      </c>
      <c r="F74" s="255">
        <f t="shared" si="4"/>
        <v>4862</v>
      </c>
      <c r="G74" s="239"/>
      <c r="H74" s="290">
        <v>-13495.75</v>
      </c>
      <c r="I74" s="188">
        <v>-8149.49</v>
      </c>
      <c r="J74" s="290">
        <v>-9331.7900000000009</v>
      </c>
      <c r="K74" s="188">
        <v>-11894</v>
      </c>
      <c r="L74" s="188">
        <v>-20019</v>
      </c>
      <c r="M74" s="188">
        <v>-12819.4</v>
      </c>
      <c r="N74" s="171">
        <v>-14874</v>
      </c>
      <c r="O74" s="153">
        <v>-18212</v>
      </c>
      <c r="P74" s="127">
        <v>-8052</v>
      </c>
    </row>
    <row r="75" spans="1:16" x14ac:dyDescent="0.25">
      <c r="A75" s="24" t="s">
        <v>34</v>
      </c>
      <c r="B75" s="5" t="s">
        <v>141</v>
      </c>
      <c r="C75" s="210">
        <v>-5000</v>
      </c>
      <c r="D75" s="279">
        <v>0</v>
      </c>
      <c r="E75" s="263">
        <v>-11850</v>
      </c>
      <c r="F75" s="255">
        <f t="shared" si="4"/>
        <v>-11850</v>
      </c>
      <c r="G75" s="239"/>
      <c r="H75" s="290">
        <v>-3810</v>
      </c>
      <c r="I75" s="188">
        <v>0</v>
      </c>
      <c r="J75" s="290">
        <v>0</v>
      </c>
      <c r="K75" s="188">
        <v>0</v>
      </c>
      <c r="L75" s="188">
        <v>-2800</v>
      </c>
      <c r="M75" s="188">
        <v>-3200</v>
      </c>
      <c r="N75" s="171">
        <v>-4100</v>
      </c>
      <c r="O75" s="153">
        <v>-10300</v>
      </c>
      <c r="P75" s="127">
        <v>-3600</v>
      </c>
    </row>
    <row r="76" spans="1:16" x14ac:dyDescent="0.25">
      <c r="A76" s="24" t="str">
        <f>"4120"</f>
        <v>4120</v>
      </c>
      <c r="B76" s="5" t="str">
        <f>"Kostnad ungdomsverksamhet"</f>
        <v>Kostnad ungdomsverksamhet</v>
      </c>
      <c r="C76" s="210">
        <v>-10000</v>
      </c>
      <c r="D76" s="279">
        <v>-25000</v>
      </c>
      <c r="E76" s="263">
        <v>-8656</v>
      </c>
      <c r="F76" s="255">
        <f t="shared" si="4"/>
        <v>16344</v>
      </c>
      <c r="G76" s="239"/>
      <c r="H76" s="290">
        <v>-17921.63</v>
      </c>
      <c r="I76" s="188">
        <v>-20147.099999999999</v>
      </c>
      <c r="J76" s="290">
        <v>-26262.38</v>
      </c>
      <c r="K76" s="188">
        <v>-14082</v>
      </c>
      <c r="L76" s="188">
        <v>-32802</v>
      </c>
      <c r="M76" s="188">
        <v>-20082.7</v>
      </c>
      <c r="N76" s="171">
        <v>-15443</v>
      </c>
      <c r="O76" s="153">
        <v>-10865</v>
      </c>
      <c r="P76" s="127">
        <v>-6599</v>
      </c>
    </row>
    <row r="77" spans="1:16" x14ac:dyDescent="0.25">
      <c r="A77" s="24" t="s">
        <v>142</v>
      </c>
      <c r="B77" s="5" t="s">
        <v>37</v>
      </c>
      <c r="C77" s="210">
        <v>-5000</v>
      </c>
      <c r="D77" s="279">
        <v>-10000</v>
      </c>
      <c r="E77" s="263">
        <v>0</v>
      </c>
      <c r="F77" s="239">
        <f t="shared" si="4"/>
        <v>10000</v>
      </c>
      <c r="G77" s="239"/>
      <c r="H77" s="290"/>
      <c r="I77" s="188">
        <v>-10650</v>
      </c>
      <c r="J77" s="290">
        <v>0</v>
      </c>
      <c r="K77" s="188">
        <v>-14500</v>
      </c>
      <c r="L77" s="188">
        <v>-18859</v>
      </c>
      <c r="M77" s="188">
        <v>-10144</v>
      </c>
      <c r="N77" s="171"/>
      <c r="O77" s="153"/>
      <c r="P77" s="127"/>
    </row>
    <row r="78" spans="1:16" x14ac:dyDescent="0.25">
      <c r="A78" s="24" t="s">
        <v>143</v>
      </c>
      <c r="B78" s="5" t="s">
        <v>144</v>
      </c>
      <c r="C78" s="210">
        <v>0</v>
      </c>
      <c r="D78" s="279">
        <v>0</v>
      </c>
      <c r="F78" s="239">
        <f t="shared" si="4"/>
        <v>0</v>
      </c>
      <c r="G78" s="239"/>
      <c r="I78" s="188">
        <v>0</v>
      </c>
      <c r="J78" s="290">
        <v>-34934.9</v>
      </c>
      <c r="K78" s="188">
        <v>-8635</v>
      </c>
      <c r="L78" s="188"/>
      <c r="M78" s="188"/>
      <c r="N78" s="171"/>
      <c r="O78" s="153"/>
      <c r="P78" s="127"/>
    </row>
    <row r="79" spans="1:16" x14ac:dyDescent="0.25">
      <c r="A79" s="24" t="s">
        <v>167</v>
      </c>
      <c r="B79" s="5" t="s">
        <v>168</v>
      </c>
      <c r="C79" s="210">
        <v>-40000</v>
      </c>
      <c r="D79" s="279">
        <v>-50000</v>
      </c>
      <c r="E79" s="263">
        <v>-34451</v>
      </c>
      <c r="F79" s="239">
        <f t="shared" si="4"/>
        <v>15549</v>
      </c>
      <c r="G79" s="239"/>
      <c r="H79" s="290">
        <v>-71464.100000000006</v>
      </c>
      <c r="I79" s="188">
        <v>-9650</v>
      </c>
      <c r="J79" s="290"/>
      <c r="K79" s="188"/>
      <c r="L79" s="188"/>
      <c r="M79" s="188"/>
      <c r="N79" s="171"/>
      <c r="O79" s="153"/>
      <c r="P79" s="127"/>
    </row>
    <row r="80" spans="1:16" x14ac:dyDescent="0.25">
      <c r="A80" s="24" t="s">
        <v>145</v>
      </c>
      <c r="B80" s="5" t="s">
        <v>146</v>
      </c>
      <c r="C80" s="210">
        <v>-5000</v>
      </c>
      <c r="D80" s="279">
        <v>-9000</v>
      </c>
      <c r="E80" s="263">
        <v>-1750</v>
      </c>
      <c r="F80" s="239">
        <f t="shared" si="4"/>
        <v>7250</v>
      </c>
      <c r="G80" s="239"/>
      <c r="H80" s="290"/>
      <c r="I80" s="188">
        <v>-18000</v>
      </c>
      <c r="J80" s="290">
        <v>-14495</v>
      </c>
      <c r="K80" s="188">
        <v>-14495</v>
      </c>
      <c r="L80" s="188"/>
      <c r="M80" s="188"/>
      <c r="N80" s="171"/>
      <c r="O80" s="153"/>
      <c r="P80" s="127"/>
    </row>
    <row r="81" spans="1:21" x14ac:dyDescent="0.25">
      <c r="A81" s="24" t="str">
        <f>"4220"</f>
        <v>4220</v>
      </c>
      <c r="B81" s="5" t="s">
        <v>38</v>
      </c>
      <c r="C81" s="210">
        <v>-45000</v>
      </c>
      <c r="D81" s="279">
        <v>-45000</v>
      </c>
      <c r="E81" s="263">
        <v>-129000</v>
      </c>
      <c r="F81" s="255">
        <f t="shared" si="4"/>
        <v>-84000</v>
      </c>
      <c r="G81" s="239"/>
      <c r="H81" s="290">
        <v>-34105</v>
      </c>
      <c r="I81" s="188">
        <v>-43663</v>
      </c>
      <c r="J81" s="290">
        <v>-52093</v>
      </c>
      <c r="K81" s="188">
        <v>-114563</v>
      </c>
      <c r="L81" s="188">
        <v>-25146</v>
      </c>
      <c r="M81" s="188">
        <v>-155862.54999999999</v>
      </c>
      <c r="N81" s="171">
        <v>-117887.33</v>
      </c>
      <c r="O81" s="153">
        <v>-72611.98</v>
      </c>
      <c r="P81" s="127">
        <v>-83127</v>
      </c>
      <c r="Q81" s="161"/>
      <c r="R81" s="162"/>
      <c r="S81" s="162"/>
      <c r="T81" s="162"/>
      <c r="U81" s="4"/>
    </row>
    <row r="82" spans="1:21" x14ac:dyDescent="0.25">
      <c r="A82" s="24" t="s">
        <v>39</v>
      </c>
      <c r="B82" s="5" t="s">
        <v>40</v>
      </c>
      <c r="C82" s="210"/>
      <c r="D82" s="279"/>
      <c r="E82" s="263"/>
      <c r="F82" s="239">
        <f t="shared" si="4"/>
        <v>0</v>
      </c>
      <c r="G82" s="239"/>
      <c r="H82" s="290"/>
      <c r="I82" s="188"/>
      <c r="J82" s="290"/>
      <c r="K82" s="188"/>
      <c r="L82" s="188">
        <v>-7600</v>
      </c>
      <c r="M82" s="188"/>
      <c r="N82" s="171">
        <v>-2000</v>
      </c>
      <c r="O82" s="153">
        <v>-16508</v>
      </c>
      <c r="P82" s="127">
        <v>-21032</v>
      </c>
    </row>
    <row r="83" spans="1:21" x14ac:dyDescent="0.25">
      <c r="A83" s="24" t="s">
        <v>41</v>
      </c>
      <c r="B83" s="5" t="s">
        <v>42</v>
      </c>
      <c r="C83" s="210"/>
      <c r="D83" s="279"/>
      <c r="E83" s="263"/>
      <c r="F83" s="239">
        <f t="shared" si="4"/>
        <v>0</v>
      </c>
      <c r="G83" s="239"/>
      <c r="H83" s="290"/>
      <c r="I83" s="188"/>
      <c r="J83" s="290"/>
      <c r="K83" s="188"/>
      <c r="L83" s="188"/>
      <c r="M83" s="188"/>
      <c r="N83" s="171"/>
      <c r="O83" s="153">
        <v>-11300</v>
      </c>
      <c r="P83" s="127"/>
    </row>
    <row r="84" spans="1:21" x14ac:dyDescent="0.25">
      <c r="A84" s="24" t="str">
        <f>"4610"</f>
        <v>4610</v>
      </c>
      <c r="B84" s="5" t="str">
        <f>"Mötesverksamhet"</f>
        <v>Mötesverksamhet</v>
      </c>
      <c r="C84" s="210">
        <v>-2000</v>
      </c>
      <c r="D84" s="279">
        <v>-2000</v>
      </c>
      <c r="E84" s="263">
        <v>0</v>
      </c>
      <c r="F84" s="239">
        <f t="shared" si="4"/>
        <v>2000</v>
      </c>
      <c r="G84" s="239"/>
      <c r="H84" s="290"/>
      <c r="I84" s="188">
        <v>-263.37</v>
      </c>
      <c r="J84" s="290">
        <v>-2832</v>
      </c>
      <c r="K84" s="188">
        <v>-7165.2</v>
      </c>
      <c r="L84" s="188">
        <v>-1182.45</v>
      </c>
      <c r="M84" s="188">
        <v>-4700</v>
      </c>
      <c r="N84" s="171">
        <v>-8029</v>
      </c>
      <c r="O84" s="153">
        <v>-663</v>
      </c>
      <c r="P84" s="127">
        <v>-223</v>
      </c>
    </row>
    <row r="85" spans="1:21" x14ac:dyDescent="0.25">
      <c r="A85" s="24" t="s">
        <v>43</v>
      </c>
      <c r="B85" s="5" t="s">
        <v>44</v>
      </c>
      <c r="C85" s="210"/>
      <c r="D85" s="279"/>
      <c r="E85" s="263"/>
      <c r="F85" s="239">
        <f t="shared" si="4"/>
        <v>0</v>
      </c>
      <c r="G85" s="239"/>
      <c r="H85" s="290"/>
      <c r="I85" s="188"/>
      <c r="J85" s="290"/>
      <c r="K85" s="188"/>
      <c r="L85" s="188"/>
      <c r="M85" s="188"/>
      <c r="N85" s="171"/>
      <c r="O85" s="153"/>
      <c r="P85" s="127"/>
    </row>
    <row r="86" spans="1:21" x14ac:dyDescent="0.25">
      <c r="A86" s="24" t="str">
        <f>"4710"</f>
        <v>4710</v>
      </c>
      <c r="B86" s="5" t="str">
        <f>"Märken och priser"</f>
        <v>Märken och priser</v>
      </c>
      <c r="C86" s="210">
        <v>0</v>
      </c>
      <c r="D86" s="279">
        <v>0</v>
      </c>
      <c r="E86" s="263"/>
      <c r="F86" s="239">
        <f t="shared" si="4"/>
        <v>0</v>
      </c>
      <c r="G86" s="239"/>
      <c r="H86" s="290"/>
      <c r="I86" s="188">
        <v>0</v>
      </c>
      <c r="J86" s="290">
        <v>-1268.8</v>
      </c>
      <c r="K86" s="188">
        <v>-6469</v>
      </c>
      <c r="L86" s="188">
        <v>-4401</v>
      </c>
      <c r="M86" s="188">
        <v>-4127</v>
      </c>
      <c r="N86" s="171">
        <v>-3630</v>
      </c>
      <c r="O86" s="153">
        <v>-3710</v>
      </c>
      <c r="P86" s="127">
        <v>-6310</v>
      </c>
    </row>
    <row r="87" spans="1:21" x14ac:dyDescent="0.25">
      <c r="A87" s="24" t="str">
        <f>"4800"</f>
        <v>4800</v>
      </c>
      <c r="B87" s="5" t="str">
        <f>"Medlemmarnas pengar"</f>
        <v>Medlemmarnas pengar</v>
      </c>
      <c r="C87" s="210"/>
      <c r="D87" s="279"/>
      <c r="E87" s="263"/>
      <c r="F87" s="239"/>
      <c r="G87" s="239"/>
      <c r="H87" s="290"/>
      <c r="I87" s="188"/>
      <c r="J87" s="290"/>
      <c r="K87" s="188"/>
      <c r="L87" s="188"/>
      <c r="M87" s="188"/>
      <c r="N87" s="171"/>
      <c r="O87" s="153"/>
      <c r="P87" s="127"/>
    </row>
    <row r="88" spans="1:21" x14ac:dyDescent="0.25">
      <c r="A88" s="26"/>
      <c r="B88" s="6"/>
      <c r="C88" s="210"/>
      <c r="D88" s="279"/>
      <c r="E88" s="263"/>
      <c r="F88" s="239"/>
      <c r="G88" s="239"/>
      <c r="H88" s="290"/>
      <c r="I88" s="188"/>
      <c r="J88" s="290"/>
      <c r="K88" s="188"/>
      <c r="L88" s="188"/>
      <c r="M88" s="188"/>
      <c r="N88" s="6"/>
      <c r="O88" s="153"/>
      <c r="P88" s="129"/>
    </row>
    <row r="89" spans="1:21" s="1" customFormat="1" ht="15.75" thickBot="1" x14ac:dyDescent="0.3">
      <c r="A89" s="27" t="str">
        <f>"S:a Råvaror och förnödenheter mm"</f>
        <v>S:a Råvaror och förnödenheter mm</v>
      </c>
      <c r="B89" s="14"/>
      <c r="C89" s="212">
        <f>SUM(C62:C87)</f>
        <v>-430000</v>
      </c>
      <c r="D89" s="283">
        <f>SUM(D61:D87)</f>
        <v>-479000</v>
      </c>
      <c r="E89" s="265">
        <f>SUM(E61:E87)</f>
        <v>-531410.98</v>
      </c>
      <c r="F89" s="240"/>
      <c r="G89" s="240"/>
      <c r="H89" s="292">
        <f>SUM(H61:H87)</f>
        <v>-291603.33</v>
      </c>
      <c r="I89" s="189">
        <v>-194557.96</v>
      </c>
      <c r="J89" s="292">
        <f>SUM(J61:J87)</f>
        <v>-514658.19999999995</v>
      </c>
      <c r="K89" s="189">
        <f t="shared" ref="K89:P89" si="5">SUM(K61:K87)</f>
        <v>-442786.36</v>
      </c>
      <c r="L89" s="189">
        <f t="shared" si="5"/>
        <v>-308672.45</v>
      </c>
      <c r="M89" s="189">
        <f t="shared" si="5"/>
        <v>-350860.65</v>
      </c>
      <c r="N89" s="170">
        <f t="shared" si="5"/>
        <v>-286733.83</v>
      </c>
      <c r="O89" s="109">
        <f t="shared" si="5"/>
        <v>-286003.48</v>
      </c>
      <c r="P89" s="119">
        <f t="shared" si="5"/>
        <v>-259088</v>
      </c>
    </row>
    <row r="90" spans="1:21" x14ac:dyDescent="0.25">
      <c r="A90" s="19"/>
      <c r="B90" s="20"/>
      <c r="C90" s="205"/>
      <c r="D90" s="282"/>
      <c r="E90" s="266"/>
      <c r="F90" s="241"/>
      <c r="G90" s="241"/>
      <c r="H90" s="293"/>
      <c r="I90" s="190"/>
      <c r="J90" s="293"/>
      <c r="K90" s="190"/>
      <c r="L90" s="190"/>
      <c r="M90" s="190"/>
      <c r="N90" s="168"/>
      <c r="O90" s="155"/>
      <c r="P90" s="128"/>
    </row>
    <row r="91" spans="1:21" x14ac:dyDescent="0.25">
      <c r="A91" s="26"/>
      <c r="B91" s="6"/>
      <c r="C91" s="203"/>
      <c r="D91" s="278"/>
      <c r="E91" s="263"/>
      <c r="F91" s="239"/>
      <c r="G91" s="239"/>
      <c r="H91" s="290"/>
      <c r="I91" s="188"/>
      <c r="J91" s="290"/>
      <c r="K91" s="188"/>
      <c r="L91" s="188"/>
      <c r="M91" s="188"/>
      <c r="N91" s="6"/>
      <c r="O91" s="153"/>
      <c r="P91" s="129"/>
    </row>
    <row r="92" spans="1:21" s="1" customFormat="1" ht="15.75" thickBot="1" x14ac:dyDescent="0.3">
      <c r="A92" s="27" t="str">
        <f>"Bruttovinst"</f>
        <v>Bruttovinst</v>
      </c>
      <c r="B92" s="14"/>
      <c r="C92" s="212">
        <f>C57+C89</f>
        <v>204000</v>
      </c>
      <c r="D92" s="283">
        <v>154687</v>
      </c>
      <c r="E92" s="265">
        <f>E57+E89</f>
        <v>118452.35999999999</v>
      </c>
      <c r="F92" s="240"/>
      <c r="G92" s="240"/>
      <c r="H92" s="292">
        <f>H57+H89</f>
        <v>251182.72000000003</v>
      </c>
      <c r="I92" s="189">
        <v>325785.30999999994</v>
      </c>
      <c r="J92" s="292">
        <f>J57+J89</f>
        <v>188353.40000000002</v>
      </c>
      <c r="K92" s="189">
        <f t="shared" ref="K92:P92" si="6">K57+K89</f>
        <v>82312.390000000014</v>
      </c>
      <c r="L92" s="189">
        <f t="shared" si="6"/>
        <v>268565.3</v>
      </c>
      <c r="M92" s="189">
        <f t="shared" si="6"/>
        <v>124867.34999999998</v>
      </c>
      <c r="N92" s="167">
        <f t="shared" si="6"/>
        <v>147498.5</v>
      </c>
      <c r="O92" s="154">
        <f t="shared" si="6"/>
        <v>266452.52</v>
      </c>
      <c r="P92" s="119">
        <f t="shared" si="6"/>
        <v>152795.5</v>
      </c>
    </row>
    <row r="93" spans="1:21" x14ac:dyDescent="0.25">
      <c r="A93" s="19"/>
      <c r="B93" s="20"/>
      <c r="C93" s="205"/>
      <c r="D93" s="282"/>
      <c r="E93" s="266"/>
      <c r="F93" s="241"/>
      <c r="G93" s="241"/>
      <c r="H93" s="293"/>
      <c r="I93" s="190"/>
      <c r="J93" s="293"/>
      <c r="K93" s="190"/>
      <c r="L93" s="190"/>
      <c r="M93" s="190"/>
      <c r="N93" s="168"/>
      <c r="O93" s="155"/>
      <c r="P93" s="128"/>
    </row>
    <row r="94" spans="1:21" x14ac:dyDescent="0.25">
      <c r="A94" s="22" t="str">
        <f>"Övriga externa kostnader"</f>
        <v>Övriga externa kostnader</v>
      </c>
      <c r="B94" s="6"/>
      <c r="C94" s="203"/>
      <c r="D94" s="278"/>
      <c r="E94" s="263"/>
      <c r="F94" s="239"/>
      <c r="G94" s="239"/>
      <c r="H94" s="290"/>
      <c r="I94" s="188"/>
      <c r="J94" s="290"/>
      <c r="K94" s="188"/>
      <c r="L94" s="188"/>
      <c r="M94" s="188"/>
      <c r="N94" s="6"/>
      <c r="O94" s="153"/>
      <c r="P94" s="129"/>
    </row>
    <row r="95" spans="1:21" x14ac:dyDescent="0.25">
      <c r="A95" s="22"/>
      <c r="B95" s="192"/>
      <c r="C95" s="249"/>
      <c r="D95" s="285"/>
      <c r="E95" s="268"/>
      <c r="F95" s="252"/>
      <c r="G95" s="252"/>
      <c r="H95" s="294"/>
      <c r="I95" s="251"/>
      <c r="J95" s="294"/>
      <c r="K95" s="251"/>
      <c r="L95" s="251"/>
      <c r="M95" s="251"/>
      <c r="N95" s="192"/>
      <c r="O95" s="253"/>
      <c r="P95" s="254"/>
    </row>
    <row r="96" spans="1:21" x14ac:dyDescent="0.25">
      <c r="A96" s="24" t="s">
        <v>176</v>
      </c>
      <c r="B96" s="5" t="s">
        <v>177</v>
      </c>
      <c r="C96" s="210">
        <v>-3000</v>
      </c>
      <c r="D96" s="279"/>
      <c r="E96" s="263">
        <v>-2772</v>
      </c>
      <c r="F96" s="239"/>
      <c r="G96" s="239"/>
      <c r="H96" s="290">
        <v>-198</v>
      </c>
      <c r="I96" s="188"/>
      <c r="J96" s="290"/>
      <c r="K96" s="188"/>
      <c r="L96" s="188"/>
      <c r="M96" s="188"/>
      <c r="N96" s="171"/>
      <c r="O96" s="153"/>
      <c r="P96" s="127"/>
    </row>
    <row r="97" spans="1:16" x14ac:dyDescent="0.25">
      <c r="A97" s="24" t="s">
        <v>147</v>
      </c>
      <c r="B97" s="5" t="s">
        <v>148</v>
      </c>
      <c r="C97" s="210">
        <v>0</v>
      </c>
      <c r="D97" s="279">
        <v>0</v>
      </c>
      <c r="F97" s="239">
        <f>-(D97-E98)</f>
        <v>-31803.75</v>
      </c>
      <c r="G97" s="239"/>
      <c r="H97" s="290"/>
      <c r="I97" s="188">
        <v>-4140</v>
      </c>
      <c r="J97" s="290"/>
      <c r="K97" s="188"/>
      <c r="L97" s="188">
        <v>-7077</v>
      </c>
      <c r="M97" s="188"/>
      <c r="N97" s="171"/>
      <c r="O97" s="153"/>
      <c r="P97" s="127"/>
    </row>
    <row r="98" spans="1:16" x14ac:dyDescent="0.25">
      <c r="A98" s="24" t="s">
        <v>185</v>
      </c>
      <c r="B98" s="5" t="s">
        <v>186</v>
      </c>
      <c r="C98" s="210">
        <v>-30000</v>
      </c>
      <c r="D98" s="279"/>
      <c r="E98" s="263">
        <v>-31803.75</v>
      </c>
      <c r="F98" s="239"/>
      <c r="G98" s="239"/>
      <c r="H98" s="290"/>
      <c r="I98" s="188"/>
      <c r="J98" s="290"/>
      <c r="K98" s="188"/>
      <c r="L98" s="188"/>
      <c r="M98" s="188"/>
      <c r="N98" s="171"/>
      <c r="O98" s="153"/>
      <c r="P98" s="127"/>
    </row>
    <row r="99" spans="1:16" x14ac:dyDescent="0.25">
      <c r="A99" s="24" t="str">
        <f>"5110"</f>
        <v>5110</v>
      </c>
      <c r="B99" s="5" t="str">
        <f>"Arrende"</f>
        <v>Arrende</v>
      </c>
      <c r="C99" s="210">
        <v>-4500</v>
      </c>
      <c r="D99" s="279">
        <v>-4500</v>
      </c>
      <c r="E99" s="263">
        <v>-4413</v>
      </c>
      <c r="F99" s="239">
        <f t="shared" ref="F99:F120" si="7">-(D99-E99)</f>
        <v>87</v>
      </c>
      <c r="G99" s="239"/>
      <c r="H99" s="290">
        <v>-4292</v>
      </c>
      <c r="I99" s="188">
        <v>-4281</v>
      </c>
      <c r="J99" s="290">
        <v>-4213</v>
      </c>
      <c r="K99" s="188">
        <v>-4119</v>
      </c>
      <c r="L99" s="188">
        <v>-4051</v>
      </c>
      <c r="M99" s="188">
        <v>-4004</v>
      </c>
      <c r="N99" s="171">
        <v>-4000</v>
      </c>
      <c r="O99" s="153">
        <v>-1643</v>
      </c>
      <c r="P99" s="127">
        <v>-1643</v>
      </c>
    </row>
    <row r="100" spans="1:16" x14ac:dyDescent="0.25">
      <c r="A100" s="24" t="str">
        <f>"5120"</f>
        <v>5120</v>
      </c>
      <c r="B100" s="5" t="str">
        <f>"Elektricitet"</f>
        <v>Elektricitet</v>
      </c>
      <c r="C100" s="210">
        <v>-45000</v>
      </c>
      <c r="D100" s="279">
        <v>-40000</v>
      </c>
      <c r="E100" s="263">
        <v>-43101</v>
      </c>
      <c r="F100" s="239">
        <f t="shared" si="7"/>
        <v>-3101</v>
      </c>
      <c r="G100" s="239"/>
      <c r="H100" s="290">
        <v>-31211</v>
      </c>
      <c r="I100" s="188">
        <v>-21124</v>
      </c>
      <c r="J100" s="290">
        <v>-32089</v>
      </c>
      <c r="K100" s="188">
        <v>-24974</v>
      </c>
      <c r="L100" s="188">
        <v>-20172</v>
      </c>
      <c r="M100" s="188">
        <v>-15738</v>
      </c>
      <c r="N100" s="171">
        <v>-21431</v>
      </c>
      <c r="O100" s="153">
        <v>-24526</v>
      </c>
      <c r="P100" s="127">
        <v>-28939</v>
      </c>
    </row>
    <row r="101" spans="1:16" x14ac:dyDescent="0.25">
      <c r="A101" s="24" t="str">
        <f>"5140"</f>
        <v>5140</v>
      </c>
      <c r="B101" s="5" t="str">
        <f>"Vatten och sophämtning"</f>
        <v>Vatten och sophämtning</v>
      </c>
      <c r="C101" s="210">
        <v>-7000</v>
      </c>
      <c r="D101" s="279">
        <v>-8400</v>
      </c>
      <c r="E101" s="263">
        <v>-6246</v>
      </c>
      <c r="F101" s="239">
        <f t="shared" si="7"/>
        <v>2154</v>
      </c>
      <c r="G101" s="239"/>
      <c r="H101" s="290">
        <v>-8149</v>
      </c>
      <c r="I101" s="188">
        <v>-7733</v>
      </c>
      <c r="J101" s="290">
        <v>-9609</v>
      </c>
      <c r="K101" s="188">
        <v>-9718</v>
      </c>
      <c r="L101" s="188">
        <v>-6787</v>
      </c>
      <c r="M101" s="188">
        <v>-4833</v>
      </c>
      <c r="N101" s="171">
        <v>-6464</v>
      </c>
      <c r="O101" s="153">
        <v>-5849</v>
      </c>
      <c r="P101" s="127">
        <v>-6178</v>
      </c>
    </row>
    <row r="102" spans="1:16" x14ac:dyDescent="0.25">
      <c r="A102" s="24" t="s">
        <v>45</v>
      </c>
      <c r="B102" s="5" t="s">
        <v>46</v>
      </c>
      <c r="C102" s="210">
        <v>0</v>
      </c>
      <c r="D102" s="279">
        <v>0</v>
      </c>
      <c r="E102" s="263"/>
      <c r="F102" s="255">
        <f t="shared" si="7"/>
        <v>0</v>
      </c>
      <c r="G102" s="239"/>
      <c r="H102" s="290"/>
      <c r="I102" s="188">
        <v>0</v>
      </c>
      <c r="J102" s="290">
        <v>-10145</v>
      </c>
      <c r="K102" s="188"/>
      <c r="M102" s="188"/>
      <c r="N102" s="171">
        <v>-8039.38</v>
      </c>
      <c r="O102" s="153"/>
      <c r="P102" s="127"/>
    </row>
    <row r="103" spans="1:16" x14ac:dyDescent="0.25">
      <c r="A103" s="24" t="str">
        <f>"5170"</f>
        <v>5170</v>
      </c>
      <c r="B103" s="5" t="str">
        <f>"Fastighetsunderhåll"</f>
        <v>Fastighetsunderhåll</v>
      </c>
      <c r="C103" s="210">
        <v>-5000</v>
      </c>
      <c r="D103" s="279">
        <v>-5000</v>
      </c>
      <c r="E103" s="263"/>
      <c r="F103" s="239">
        <f t="shared" si="7"/>
        <v>5000</v>
      </c>
      <c r="G103" s="239"/>
      <c r="H103" s="290"/>
      <c r="I103" s="188">
        <v>-64149</v>
      </c>
      <c r="J103" s="290">
        <v>-10831.7</v>
      </c>
      <c r="K103" s="188">
        <v>-113866.87</v>
      </c>
      <c r="L103" s="188">
        <v>-135001.76999999999</v>
      </c>
      <c r="M103" s="188">
        <v>-1287</v>
      </c>
      <c r="N103" s="171">
        <v>-5540.5</v>
      </c>
      <c r="O103" s="153">
        <v>-18240</v>
      </c>
      <c r="P103" s="127">
        <v>-53805</v>
      </c>
    </row>
    <row r="104" spans="1:16" x14ac:dyDescent="0.25">
      <c r="A104" s="24" t="s">
        <v>47</v>
      </c>
      <c r="B104" s="5" t="s">
        <v>48</v>
      </c>
      <c r="C104" s="210"/>
      <c r="D104" s="279"/>
      <c r="E104" s="263"/>
      <c r="F104" s="239">
        <f t="shared" si="7"/>
        <v>0</v>
      </c>
      <c r="G104" s="239"/>
      <c r="H104" s="290"/>
      <c r="I104" s="188"/>
      <c r="J104" s="290"/>
      <c r="K104" s="188"/>
      <c r="L104" s="188"/>
      <c r="M104" s="188"/>
      <c r="N104" s="171">
        <v>-4006</v>
      </c>
      <c r="O104" s="153">
        <v>-61624.5</v>
      </c>
      <c r="P104" s="127"/>
    </row>
    <row r="105" spans="1:16" x14ac:dyDescent="0.25">
      <c r="A105" s="24" t="str">
        <f>"5410"</f>
        <v>5410</v>
      </c>
      <c r="B105" s="5" t="str">
        <f>"Förbrukningsinventarier"</f>
        <v>Förbrukningsinventarier</v>
      </c>
      <c r="C105" s="210">
        <v>-3000</v>
      </c>
      <c r="D105" s="279">
        <v>-3000</v>
      </c>
      <c r="E105" s="263">
        <v>0</v>
      </c>
      <c r="F105" s="255">
        <f t="shared" si="7"/>
        <v>3000</v>
      </c>
      <c r="G105" s="239"/>
      <c r="H105" s="290">
        <v>-1947.85</v>
      </c>
      <c r="I105" s="188">
        <v>-3406.35</v>
      </c>
      <c r="J105" s="290">
        <v>-16461.900000000001</v>
      </c>
      <c r="K105" s="188">
        <v>-43884.6</v>
      </c>
      <c r="L105" s="188">
        <v>-2639</v>
      </c>
      <c r="M105" s="188">
        <v>-13444</v>
      </c>
      <c r="N105" s="171">
        <v>-1795</v>
      </c>
      <c r="O105" s="153">
        <v>-1038</v>
      </c>
      <c r="P105" s="127">
        <v>-1675</v>
      </c>
    </row>
    <row r="106" spans="1:16" x14ac:dyDescent="0.25">
      <c r="A106" s="24" t="str">
        <f>"5420"</f>
        <v>5420</v>
      </c>
      <c r="B106" s="5" t="str">
        <f>"Programvaror"</f>
        <v>Programvaror</v>
      </c>
      <c r="C106" s="210">
        <v>-300</v>
      </c>
      <c r="D106" s="279">
        <v>-300</v>
      </c>
      <c r="E106" s="263">
        <v>-213.68</v>
      </c>
      <c r="F106" s="239">
        <f t="shared" si="7"/>
        <v>86.32</v>
      </c>
      <c r="G106" s="239"/>
      <c r="H106" s="290">
        <v>-206.53</v>
      </c>
      <c r="I106" s="188">
        <v>-211.21</v>
      </c>
      <c r="J106" s="290"/>
      <c r="K106" s="188"/>
      <c r="L106" s="188"/>
      <c r="M106" s="188"/>
      <c r="N106" s="171"/>
      <c r="O106" s="153">
        <v>-1265</v>
      </c>
      <c r="P106" s="127">
        <v>-1200</v>
      </c>
    </row>
    <row r="107" spans="1:16" x14ac:dyDescent="0.25">
      <c r="A107" s="24" t="s">
        <v>49</v>
      </c>
      <c r="B107" s="5" t="s">
        <v>50</v>
      </c>
      <c r="C107" s="210">
        <v>-3000</v>
      </c>
      <c r="D107" s="279">
        <v>-3000</v>
      </c>
      <c r="E107" s="263">
        <v>-2949.3</v>
      </c>
      <c r="F107" s="255">
        <f t="shared" si="7"/>
        <v>50.699999999999818</v>
      </c>
      <c r="G107" s="239"/>
      <c r="H107" s="290">
        <v>-3077.25</v>
      </c>
      <c r="I107" s="188">
        <v>-8152.97</v>
      </c>
      <c r="J107" s="290">
        <v>-9988.17</v>
      </c>
      <c r="K107" s="188">
        <v>-1525.8</v>
      </c>
      <c r="L107" s="188">
        <v>-6039.33</v>
      </c>
      <c r="M107" s="188">
        <v>-1616</v>
      </c>
      <c r="N107" s="171">
        <v>-3556</v>
      </c>
      <c r="O107" s="153"/>
      <c r="P107" s="127"/>
    </row>
    <row r="108" spans="1:16" x14ac:dyDescent="0.25">
      <c r="A108" s="24" t="str">
        <f>"5500"</f>
        <v>5500</v>
      </c>
      <c r="B108" s="5" t="str">
        <f>"Kanotunderhåll"</f>
        <v>Kanotunderhåll</v>
      </c>
      <c r="C108" s="210">
        <v>-3000</v>
      </c>
      <c r="D108" s="279">
        <v>-5000</v>
      </c>
      <c r="E108" s="263">
        <v>-1355</v>
      </c>
      <c r="F108" s="255">
        <f t="shared" si="7"/>
        <v>3645</v>
      </c>
      <c r="G108" s="239"/>
      <c r="H108" s="290">
        <v>-3746.2</v>
      </c>
      <c r="I108" s="188">
        <v>-735.85</v>
      </c>
      <c r="J108" s="290">
        <v>-1212.7</v>
      </c>
      <c r="K108" s="188">
        <v>-1752.8</v>
      </c>
      <c r="L108" s="188">
        <v>0</v>
      </c>
      <c r="M108" s="188"/>
      <c r="N108" s="171">
        <v>-2258</v>
      </c>
      <c r="O108" s="153">
        <v>-4670</v>
      </c>
      <c r="P108" s="127">
        <v>-1400</v>
      </c>
    </row>
    <row r="109" spans="1:16" x14ac:dyDescent="0.25">
      <c r="A109" s="24" t="str">
        <f>"5611"</f>
        <v>5611</v>
      </c>
      <c r="B109" s="5" t="s">
        <v>51</v>
      </c>
      <c r="C109" s="210">
        <v>-6000</v>
      </c>
      <c r="D109" s="279">
        <v>-5000</v>
      </c>
      <c r="E109" s="263">
        <v>-4756.33</v>
      </c>
      <c r="F109" s="239">
        <f t="shared" si="7"/>
        <v>243.67000000000007</v>
      </c>
      <c r="G109" s="239"/>
      <c r="H109" s="290">
        <v>-4358.88</v>
      </c>
      <c r="I109" s="188">
        <v>-4865.28</v>
      </c>
      <c r="J109" s="290">
        <v>-3277.79</v>
      </c>
      <c r="K109" s="188">
        <v>-2789.82</v>
      </c>
      <c r="L109" s="188">
        <v>1414.08</v>
      </c>
      <c r="M109" s="188">
        <v>-875</v>
      </c>
      <c r="N109" s="171">
        <v>-1569</v>
      </c>
      <c r="O109" s="153">
        <v>-573</v>
      </c>
      <c r="P109" s="127">
        <v>-1867</v>
      </c>
    </row>
    <row r="110" spans="1:16" x14ac:dyDescent="0.25">
      <c r="A110" s="24" t="str">
        <f>"5612"</f>
        <v>5612</v>
      </c>
      <c r="B110" s="5" t="str">
        <f>"Försäkring"</f>
        <v>Försäkring</v>
      </c>
      <c r="C110" s="210">
        <v>-20000</v>
      </c>
      <c r="D110" s="279">
        <v>-19572</v>
      </c>
      <c r="E110" s="263">
        <v>-19409</v>
      </c>
      <c r="F110" s="255">
        <f t="shared" si="7"/>
        <v>163</v>
      </c>
      <c r="G110" s="239"/>
      <c r="H110" s="290">
        <v>-19023</v>
      </c>
      <c r="I110" s="188">
        <v>-18509</v>
      </c>
      <c r="J110" s="290">
        <v>-17955</v>
      </c>
      <c r="K110" s="188">
        <v>-21275</v>
      </c>
      <c r="L110" s="188">
        <v>-16185</v>
      </c>
      <c r="M110" s="188">
        <v>-7266</v>
      </c>
      <c r="N110" s="171">
        <v>-28098</v>
      </c>
      <c r="O110" s="153">
        <v>-27736</v>
      </c>
      <c r="P110" s="127">
        <v>-43706</v>
      </c>
    </row>
    <row r="111" spans="1:16" x14ac:dyDescent="0.25">
      <c r="A111" s="24" t="s">
        <v>52</v>
      </c>
      <c r="B111" s="5" t="s">
        <v>53</v>
      </c>
      <c r="C111" s="210">
        <v>-1000</v>
      </c>
      <c r="D111" s="279">
        <v>-1000</v>
      </c>
      <c r="E111" s="263">
        <v>-610</v>
      </c>
      <c r="F111" s="255">
        <f t="shared" si="7"/>
        <v>390</v>
      </c>
      <c r="G111" s="239"/>
      <c r="H111" s="290">
        <v>-954</v>
      </c>
      <c r="I111" s="188">
        <v>-525</v>
      </c>
      <c r="J111" s="290">
        <v>-1714</v>
      </c>
      <c r="K111" s="188"/>
      <c r="L111" s="188"/>
      <c r="M111" s="188"/>
      <c r="N111" s="171">
        <v>-4371</v>
      </c>
      <c r="O111" s="153"/>
      <c r="P111" s="127">
        <v>-400</v>
      </c>
    </row>
    <row r="112" spans="1:16" x14ac:dyDescent="0.25">
      <c r="A112" s="24" t="s">
        <v>178</v>
      </c>
      <c r="B112" s="5" t="s">
        <v>179</v>
      </c>
      <c r="C112" s="210"/>
      <c r="D112" s="279">
        <v>0</v>
      </c>
      <c r="E112" s="263">
        <v>0</v>
      </c>
      <c r="F112" s="255">
        <f>-(D112-E112)</f>
        <v>0</v>
      </c>
      <c r="G112" s="239"/>
      <c r="H112" s="290">
        <v>-599.5</v>
      </c>
      <c r="I112" s="188"/>
      <c r="J112" s="290"/>
      <c r="K112" s="188"/>
      <c r="L112" s="188"/>
      <c r="M112" s="188"/>
      <c r="N112" s="171"/>
      <c r="O112" s="153">
        <v>-315</v>
      </c>
      <c r="P112" s="127"/>
    </row>
    <row r="113" spans="1:16" x14ac:dyDescent="0.25">
      <c r="A113" s="24" t="str">
        <f>"5620"</f>
        <v>5620</v>
      </c>
      <c r="B113" s="5" t="s">
        <v>54</v>
      </c>
      <c r="C113" s="210">
        <v>-3400</v>
      </c>
      <c r="D113" s="279">
        <v>-2500</v>
      </c>
      <c r="E113" s="263">
        <v>-3358</v>
      </c>
      <c r="F113" s="255">
        <f t="shared" si="7"/>
        <v>-858</v>
      </c>
      <c r="G113" s="239"/>
      <c r="H113" s="290">
        <v>-2295</v>
      </c>
      <c r="I113" s="188">
        <v>0</v>
      </c>
      <c r="J113" s="290">
        <v>0</v>
      </c>
      <c r="K113" s="188">
        <v>-1445.9</v>
      </c>
      <c r="L113" s="188">
        <v>-49893</v>
      </c>
      <c r="M113" s="188">
        <v>-2295</v>
      </c>
      <c r="N113" s="171">
        <v>-8015</v>
      </c>
      <c r="O113" s="153">
        <v>-1476</v>
      </c>
      <c r="P113" s="127">
        <v>-1721</v>
      </c>
    </row>
    <row r="114" spans="1:16" x14ac:dyDescent="0.25">
      <c r="A114" s="24" t="s">
        <v>55</v>
      </c>
      <c r="B114" s="5" t="s">
        <v>56</v>
      </c>
      <c r="C114" s="210"/>
      <c r="D114" s="279"/>
      <c r="E114" s="263"/>
      <c r="F114" s="255">
        <f t="shared" si="7"/>
        <v>0</v>
      </c>
      <c r="G114" s="239"/>
      <c r="H114" s="290"/>
      <c r="I114" s="188"/>
      <c r="J114" s="290"/>
      <c r="K114" s="188"/>
      <c r="L114" s="188"/>
      <c r="M114" s="188"/>
      <c r="N114" s="171"/>
      <c r="O114" s="153"/>
      <c r="P114" s="127"/>
    </row>
    <row r="115" spans="1:16" x14ac:dyDescent="0.25">
      <c r="A115" s="24" t="str">
        <f>"6110"</f>
        <v>6110</v>
      </c>
      <c r="B115" s="5" t="str">
        <f>"Kontorsmaterial"</f>
        <v>Kontorsmaterial</v>
      </c>
      <c r="C115" s="210"/>
      <c r="D115" s="279"/>
      <c r="E115" s="263"/>
      <c r="F115" s="255">
        <f t="shared" si="7"/>
        <v>0</v>
      </c>
      <c r="G115" s="239"/>
      <c r="H115" s="290"/>
      <c r="I115" s="188"/>
      <c r="J115" s="290"/>
      <c r="K115" s="188"/>
      <c r="L115" s="188"/>
      <c r="M115" s="188">
        <v>-148</v>
      </c>
      <c r="N115" s="171">
        <v>-1733</v>
      </c>
      <c r="O115" s="153">
        <v>-138</v>
      </c>
      <c r="P115" s="127">
        <v>-115</v>
      </c>
    </row>
    <row r="116" spans="1:16" x14ac:dyDescent="0.25">
      <c r="A116" s="24" t="str">
        <f>"6210"</f>
        <v>6210</v>
      </c>
      <c r="B116" s="5" t="str">
        <f>"Telefon"</f>
        <v>Telefon</v>
      </c>
      <c r="C116" s="210"/>
      <c r="D116" s="279"/>
      <c r="E116" s="263"/>
      <c r="F116" s="255">
        <f t="shared" si="7"/>
        <v>0</v>
      </c>
      <c r="G116" s="239"/>
      <c r="H116" s="290"/>
      <c r="I116" s="188"/>
      <c r="J116" s="290"/>
      <c r="K116" s="188"/>
      <c r="L116" s="188"/>
      <c r="M116" s="188"/>
      <c r="N116" s="171"/>
      <c r="O116" s="153">
        <v>-440</v>
      </c>
      <c r="P116" s="127">
        <v>-1928</v>
      </c>
    </row>
    <row r="117" spans="1:16" x14ac:dyDescent="0.25">
      <c r="A117" s="24" t="str">
        <f>"6250"</f>
        <v>6250</v>
      </c>
      <c r="B117" s="5" t="str">
        <f>"Porto"</f>
        <v>Porto</v>
      </c>
      <c r="C117" s="210"/>
      <c r="D117" s="279"/>
      <c r="E117" s="263"/>
      <c r="F117" s="255">
        <f t="shared" si="7"/>
        <v>0</v>
      </c>
      <c r="G117" s="239"/>
      <c r="H117" s="290"/>
      <c r="I117" s="188"/>
      <c r="J117" s="290"/>
      <c r="K117" s="188"/>
      <c r="L117" s="188"/>
      <c r="M117" s="188">
        <v>-183</v>
      </c>
      <c r="N117" s="171">
        <v>-140</v>
      </c>
      <c r="O117" s="153">
        <v>-60</v>
      </c>
      <c r="P117" s="127">
        <v>-60</v>
      </c>
    </row>
    <row r="118" spans="1:16" x14ac:dyDescent="0.25">
      <c r="A118" s="24" t="s">
        <v>187</v>
      </c>
      <c r="B118" s="5" t="s">
        <v>188</v>
      </c>
      <c r="C118" s="210">
        <v>-4600</v>
      </c>
      <c r="D118" s="279">
        <v>0</v>
      </c>
      <c r="E118" s="263">
        <v>-4600</v>
      </c>
      <c r="F118" s="255"/>
      <c r="G118" s="239"/>
      <c r="H118" s="290"/>
      <c r="I118" s="188"/>
      <c r="J118" s="290"/>
      <c r="K118" s="188"/>
      <c r="L118" s="188"/>
      <c r="M118" s="188"/>
      <c r="N118" s="171"/>
      <c r="O118" s="153"/>
      <c r="P118" s="127"/>
    </row>
    <row r="119" spans="1:16" x14ac:dyDescent="0.25">
      <c r="A119" s="24" t="s">
        <v>169</v>
      </c>
      <c r="B119" s="5" t="s">
        <v>170</v>
      </c>
      <c r="C119" s="210">
        <v>-10000</v>
      </c>
      <c r="D119" s="279">
        <v>-10000</v>
      </c>
      <c r="E119" s="263">
        <v>-7299.5</v>
      </c>
      <c r="F119" s="255">
        <f t="shared" si="7"/>
        <v>2700.5</v>
      </c>
      <c r="G119" s="239"/>
      <c r="H119" s="290">
        <v>-11570.4</v>
      </c>
      <c r="I119" s="188">
        <v>-2667.57</v>
      </c>
      <c r="J119" s="290"/>
      <c r="K119" s="188"/>
      <c r="L119" s="188"/>
      <c r="M119" s="188"/>
      <c r="N119" s="171"/>
      <c r="O119" s="153"/>
      <c r="P119" s="127"/>
    </row>
    <row r="120" spans="1:16" x14ac:dyDescent="0.25">
      <c r="A120" s="24" t="s">
        <v>127</v>
      </c>
      <c r="B120" s="5" t="s">
        <v>128</v>
      </c>
      <c r="C120" s="210">
        <v>-5000</v>
      </c>
      <c r="D120" s="279">
        <v>-7000</v>
      </c>
      <c r="E120" s="263">
        <v>-4005.89</v>
      </c>
      <c r="F120" s="255">
        <f t="shared" si="7"/>
        <v>2994.11</v>
      </c>
      <c r="G120" s="239"/>
      <c r="H120" s="290">
        <v>-5382</v>
      </c>
      <c r="I120" s="188">
        <v>-6405</v>
      </c>
      <c r="J120" s="290">
        <v>-26174</v>
      </c>
      <c r="K120" s="188">
        <v>-27425</v>
      </c>
      <c r="L120" s="188">
        <v>-16680</v>
      </c>
      <c r="M120" s="188"/>
      <c r="N120" s="171"/>
      <c r="O120" s="153"/>
      <c r="P120" s="127"/>
    </row>
    <row r="121" spans="1:16" x14ac:dyDescent="0.25">
      <c r="A121" s="24" t="str">
        <f>"6570"</f>
        <v>6570</v>
      </c>
      <c r="B121" s="5" t="str">
        <f>"Bankkostnader"</f>
        <v>Bankkostnader</v>
      </c>
      <c r="C121" s="210">
        <v>-1000</v>
      </c>
      <c r="D121" s="279">
        <v>-1000</v>
      </c>
      <c r="E121" s="263">
        <v>-934.5</v>
      </c>
      <c r="F121" s="255">
        <f>-(D121-E121)</f>
        <v>65.5</v>
      </c>
      <c r="G121" s="239"/>
      <c r="H121" s="290">
        <v>-994.5</v>
      </c>
      <c r="I121" s="188">
        <v>-964.5</v>
      </c>
      <c r="J121" s="290">
        <v>-971.99</v>
      </c>
      <c r="K121" s="188">
        <v>-927</v>
      </c>
      <c r="L121" s="188">
        <v>-909</v>
      </c>
      <c r="M121" s="188">
        <v>-615</v>
      </c>
      <c r="N121" s="171">
        <v>-4.5</v>
      </c>
      <c r="O121" s="153">
        <v>-1869</v>
      </c>
      <c r="P121" s="127">
        <v>-1971</v>
      </c>
    </row>
    <row r="122" spans="1:16" x14ac:dyDescent="0.25">
      <c r="A122" s="24" t="str">
        <f>"6980"</f>
        <v>6980</v>
      </c>
      <c r="B122" s="5" t="str">
        <f>"Föreningsavgift /Licenser"</f>
        <v>Föreningsavgift /Licenser</v>
      </c>
      <c r="C122" s="210">
        <v>-30000</v>
      </c>
      <c r="D122" s="279">
        <v>-15000</v>
      </c>
      <c r="E122" s="263">
        <v>-22176</v>
      </c>
      <c r="F122" s="255">
        <f>-(D122-E122)</f>
        <v>-7176</v>
      </c>
      <c r="G122" s="239"/>
      <c r="H122" s="290">
        <v>-13825</v>
      </c>
      <c r="I122" s="188">
        <v>-19240</v>
      </c>
      <c r="J122" s="290">
        <v>-14550</v>
      </c>
      <c r="K122" s="188">
        <v>-18200</v>
      </c>
      <c r="L122" s="188">
        <v>-23420</v>
      </c>
      <c r="M122" s="188">
        <v>-17180</v>
      </c>
      <c r="N122" s="171">
        <v>-15790</v>
      </c>
      <c r="O122" s="153">
        <v>-26978</v>
      </c>
      <c r="P122" s="127">
        <v>-24550</v>
      </c>
    </row>
    <row r="123" spans="1:16" x14ac:dyDescent="0.25">
      <c r="A123" s="24" t="str">
        <f>"6990"</f>
        <v>6990</v>
      </c>
      <c r="B123" s="5" t="str">
        <f>"Övriga Kostnader"</f>
        <v>Övriga Kostnader</v>
      </c>
      <c r="C123" s="210">
        <v>-7000</v>
      </c>
      <c r="D123" s="279">
        <v>0</v>
      </c>
      <c r="E123" s="263">
        <v>-6398</v>
      </c>
      <c r="F123" s="255">
        <f>-(D123-E123)</f>
        <v>-6398</v>
      </c>
      <c r="G123" s="239"/>
      <c r="H123" s="290">
        <v>-6700</v>
      </c>
      <c r="I123" s="188">
        <v>-4478</v>
      </c>
      <c r="J123" s="290">
        <v>-4954.95</v>
      </c>
      <c r="K123" s="188">
        <v>-3187.5</v>
      </c>
      <c r="L123" s="188">
        <v>-778</v>
      </c>
      <c r="M123" s="188">
        <v>-4730.79</v>
      </c>
      <c r="N123" s="171">
        <v>-3998.66</v>
      </c>
      <c r="O123" s="153">
        <v>-3766.5</v>
      </c>
      <c r="P123" s="127">
        <v>-14526.5</v>
      </c>
    </row>
    <row r="124" spans="1:16" x14ac:dyDescent="0.25">
      <c r="A124" s="26"/>
      <c r="B124" s="6"/>
      <c r="C124" s="210"/>
      <c r="D124" s="279"/>
      <c r="E124" s="263"/>
      <c r="F124" s="255"/>
      <c r="G124" s="239"/>
      <c r="H124" s="290"/>
      <c r="I124" s="188"/>
      <c r="J124" s="290"/>
      <c r="K124" s="188"/>
      <c r="L124" s="188"/>
      <c r="M124" s="188"/>
      <c r="N124" s="6"/>
      <c r="O124" s="153"/>
      <c r="P124" s="127"/>
    </row>
    <row r="125" spans="1:16" s="1" customFormat="1" ht="15.75" thickBot="1" x14ac:dyDescent="0.3">
      <c r="A125" s="27" t="str">
        <f>"S:a Övriga externa kostnader"</f>
        <v>S:a Övriga externa kostnader</v>
      </c>
      <c r="B125" s="14"/>
      <c r="C125" s="212">
        <f>SUM(C96:C123)</f>
        <v>-191800</v>
      </c>
      <c r="D125" s="298">
        <f>SUM(D95:D124)</f>
        <v>-130272</v>
      </c>
      <c r="E125" s="299">
        <f>SUM(E96:E123)</f>
        <v>-166400.95000000001</v>
      </c>
      <c r="F125" s="255">
        <f t="shared" ref="F125" si="8">-(D125-E125)</f>
        <v>-36128.950000000012</v>
      </c>
      <c r="G125" s="240"/>
      <c r="H125" s="300">
        <f t="shared" ref="H125" si="9">SUM(H99:H123)</f>
        <v>-118332.10999999999</v>
      </c>
      <c r="I125" s="189">
        <v>-171587.73000000004</v>
      </c>
      <c r="J125" s="292">
        <f>SUM(J99:J123)</f>
        <v>-164148.20000000001</v>
      </c>
      <c r="K125" s="189">
        <f t="shared" ref="K125:P125" si="10">SUM(K99:K123)</f>
        <v>-275091.28999999998</v>
      </c>
      <c r="L125" s="189">
        <f t="shared" si="10"/>
        <v>-281141.02</v>
      </c>
      <c r="M125" s="189">
        <f t="shared" si="10"/>
        <v>-74214.789999999994</v>
      </c>
      <c r="N125" s="170">
        <f t="shared" si="10"/>
        <v>-120809.04000000001</v>
      </c>
      <c r="O125" s="109">
        <f t="shared" si="10"/>
        <v>-182207</v>
      </c>
      <c r="P125" s="119">
        <f t="shared" si="10"/>
        <v>-185684.5</v>
      </c>
    </row>
    <row r="126" spans="1:16" s="1" customFormat="1" ht="15.75" thickBot="1" x14ac:dyDescent="0.3">
      <c r="A126" s="80"/>
      <c r="B126" s="81"/>
      <c r="C126" s="206"/>
      <c r="D126" s="286"/>
      <c r="E126" s="269"/>
      <c r="F126" s="243"/>
      <c r="G126" s="243"/>
      <c r="H126" s="295"/>
      <c r="I126" s="197"/>
      <c r="J126" s="295"/>
      <c r="K126" s="197"/>
      <c r="L126" s="197"/>
      <c r="M126" s="197"/>
      <c r="N126" s="172"/>
      <c r="O126" s="158"/>
      <c r="P126" s="130"/>
    </row>
    <row r="127" spans="1:16" x14ac:dyDescent="0.25">
      <c r="A127" s="19"/>
      <c r="B127" s="20"/>
      <c r="C127" s="205"/>
      <c r="D127" s="282"/>
      <c r="E127" s="266"/>
      <c r="F127" s="241"/>
      <c r="G127" s="241"/>
      <c r="H127" s="293"/>
      <c r="I127" s="190"/>
      <c r="J127" s="293"/>
      <c r="K127" s="190"/>
      <c r="L127" s="190"/>
      <c r="M127" s="190"/>
      <c r="N127" s="168"/>
      <c r="O127" s="155"/>
      <c r="P127" s="131"/>
    </row>
    <row r="128" spans="1:16" x14ac:dyDescent="0.25">
      <c r="A128" s="22" t="str">
        <f>"Personalkostnader"</f>
        <v>Personalkostnader</v>
      </c>
      <c r="B128" s="6"/>
      <c r="C128" s="203"/>
      <c r="D128" s="278"/>
      <c r="E128" s="263"/>
      <c r="F128" s="239"/>
      <c r="G128" s="239"/>
      <c r="H128" s="290"/>
      <c r="I128" s="188"/>
      <c r="J128" s="290"/>
      <c r="K128" s="188"/>
      <c r="L128" s="188"/>
      <c r="M128" s="188"/>
      <c r="N128" s="6"/>
      <c r="O128" s="153"/>
      <c r="P128" s="127"/>
    </row>
    <row r="129" spans="1:68" x14ac:dyDescent="0.25">
      <c r="A129" s="24" t="s">
        <v>57</v>
      </c>
      <c r="B129" s="5" t="s">
        <v>58</v>
      </c>
      <c r="C129" s="210">
        <v>-2000</v>
      </c>
      <c r="D129" s="279">
        <v>0</v>
      </c>
      <c r="E129" s="263">
        <v>-1388.16</v>
      </c>
      <c r="F129" s="255">
        <f>-(D129-E129)</f>
        <v>-1388.16</v>
      </c>
      <c r="G129" s="239"/>
      <c r="H129" s="290"/>
      <c r="I129" s="188">
        <v>0</v>
      </c>
      <c r="J129" s="290">
        <v>0</v>
      </c>
      <c r="K129" s="188">
        <v>-1600</v>
      </c>
      <c r="L129" s="188">
        <v>-1500</v>
      </c>
      <c r="M129" s="188">
        <v>-4050</v>
      </c>
      <c r="N129" s="171">
        <v>-600</v>
      </c>
      <c r="O129" s="153">
        <v>-900</v>
      </c>
      <c r="P129" s="127">
        <v>-2200</v>
      </c>
    </row>
    <row r="130" spans="1:68" x14ac:dyDescent="0.25">
      <c r="A130" s="24" t="str">
        <f>"7210"</f>
        <v>7210</v>
      </c>
      <c r="B130" s="5" t="str">
        <f>"Resekostnads ersättning"</f>
        <v>Resekostnads ersättning</v>
      </c>
      <c r="C130" s="210">
        <v>-2000</v>
      </c>
      <c r="D130" s="279">
        <v>-2500</v>
      </c>
      <c r="E130" s="263">
        <v>-1880</v>
      </c>
      <c r="F130" s="239">
        <f>-(D130-E130)</f>
        <v>620</v>
      </c>
      <c r="G130" s="239"/>
      <c r="H130" s="290">
        <v>-2154</v>
      </c>
      <c r="I130" s="188">
        <v>-2154</v>
      </c>
      <c r="J130" s="290">
        <v>-1365</v>
      </c>
      <c r="K130" s="188">
        <v>-6146.89</v>
      </c>
      <c r="L130" s="188">
        <v>-2673</v>
      </c>
      <c r="M130" s="188">
        <v>-851</v>
      </c>
      <c r="N130" s="171">
        <v>-610</v>
      </c>
      <c r="O130" s="153">
        <v>-6961</v>
      </c>
      <c r="P130" s="127">
        <v>-6040</v>
      </c>
    </row>
    <row r="131" spans="1:68" x14ac:dyDescent="0.25">
      <c r="A131" s="24" t="str">
        <f>"7610"</f>
        <v>7610</v>
      </c>
      <c r="B131" s="5" t="str">
        <f>"Utbildning"</f>
        <v>Utbildning</v>
      </c>
      <c r="C131" s="210">
        <v>-5000</v>
      </c>
      <c r="D131" s="279">
        <v>-5000</v>
      </c>
      <c r="E131" s="263">
        <v>-4500</v>
      </c>
      <c r="F131" s="255">
        <f>-(D131-E131)</f>
        <v>500</v>
      </c>
      <c r="G131" s="239"/>
      <c r="H131" s="290">
        <v>-3000</v>
      </c>
      <c r="I131" s="188">
        <v>-16500</v>
      </c>
      <c r="J131" s="290">
        <v>-6703.5</v>
      </c>
      <c r="K131" s="188">
        <v>0</v>
      </c>
      <c r="L131" s="188">
        <v>-13629</v>
      </c>
      <c r="M131" s="188">
        <v>-7796</v>
      </c>
      <c r="N131" s="171"/>
      <c r="O131" s="153">
        <v>-11671</v>
      </c>
      <c r="P131" s="127">
        <v>-18925</v>
      </c>
    </row>
    <row r="132" spans="1:68" x14ac:dyDescent="0.25">
      <c r="A132" s="26"/>
      <c r="B132" s="6" t="s">
        <v>37</v>
      </c>
      <c r="C132" s="210"/>
      <c r="D132" s="279"/>
      <c r="E132" s="263"/>
      <c r="F132" s="255"/>
      <c r="G132" s="239"/>
      <c r="H132" s="290"/>
      <c r="I132" s="188"/>
      <c r="J132" s="290"/>
      <c r="K132" s="188"/>
      <c r="L132" s="188"/>
      <c r="M132" s="188"/>
      <c r="N132" s="6"/>
      <c r="O132" s="153"/>
      <c r="P132" s="127"/>
    </row>
    <row r="133" spans="1:68" s="1" customFormat="1" ht="15.75" thickBot="1" x14ac:dyDescent="0.3">
      <c r="A133" s="27" t="str">
        <f>"S:a Personalkostnader"</f>
        <v>S:a Personalkostnader</v>
      </c>
      <c r="B133" s="14"/>
      <c r="C133" s="212">
        <f>SUM(C129:C131)</f>
        <v>-9000</v>
      </c>
      <c r="D133" s="283">
        <f>SUM(D129:D132)</f>
        <v>-7500</v>
      </c>
      <c r="E133" s="265">
        <f>SUM(E129:E131)</f>
        <v>-7768.16</v>
      </c>
      <c r="F133" s="292">
        <f t="shared" ref="F133" si="11">-(D133-E133)</f>
        <v>-268.15999999999985</v>
      </c>
      <c r="G133" s="240"/>
      <c r="H133" s="292">
        <f>SUM(H129:H131)</f>
        <v>-5154</v>
      </c>
      <c r="I133" s="189">
        <v>-18654</v>
      </c>
      <c r="J133" s="292">
        <f>SUM(J129:J131)</f>
        <v>-8068.5</v>
      </c>
      <c r="K133" s="189">
        <f t="shared" ref="K133:P133" si="12">SUM(K129:K131)</f>
        <v>-7746.89</v>
      </c>
      <c r="L133" s="189">
        <f t="shared" si="12"/>
        <v>-17802</v>
      </c>
      <c r="M133" s="189">
        <f t="shared" si="12"/>
        <v>-12697</v>
      </c>
      <c r="N133" s="170">
        <f t="shared" si="12"/>
        <v>-1210</v>
      </c>
      <c r="O133" s="154">
        <f t="shared" si="12"/>
        <v>-19532</v>
      </c>
      <c r="P133" s="119">
        <f t="shared" si="12"/>
        <v>-27165</v>
      </c>
    </row>
    <row r="134" spans="1:68" x14ac:dyDescent="0.25">
      <c r="A134" s="19"/>
      <c r="B134" s="20"/>
      <c r="C134" s="205"/>
      <c r="D134" s="282"/>
      <c r="E134" s="266"/>
      <c r="F134" s="241"/>
      <c r="G134" s="241"/>
      <c r="H134" s="293"/>
      <c r="I134" s="190"/>
      <c r="J134" s="293"/>
      <c r="K134" s="190"/>
      <c r="L134" s="190"/>
      <c r="M134" s="190"/>
      <c r="N134" s="168"/>
      <c r="O134" s="155"/>
      <c r="P134" s="131"/>
    </row>
    <row r="135" spans="1:68" x14ac:dyDescent="0.25">
      <c r="A135" s="26"/>
      <c r="B135" s="6"/>
      <c r="C135" s="203"/>
      <c r="D135" s="278"/>
      <c r="E135" s="263"/>
      <c r="F135" s="239"/>
      <c r="G135" s="239"/>
      <c r="H135" s="290"/>
      <c r="I135" s="188"/>
      <c r="J135" s="290"/>
      <c r="K135" s="188"/>
      <c r="L135" s="188"/>
      <c r="M135" s="188"/>
      <c r="N135" s="6"/>
      <c r="O135" s="153"/>
      <c r="P135" s="127"/>
    </row>
    <row r="136" spans="1:68" s="2" customFormat="1" ht="15.75" thickBot="1" x14ac:dyDescent="0.3">
      <c r="A136" s="32" t="str">
        <f>"S:a Rörelsens kostnader inkl råvaror mm"</f>
        <v>S:a Rörelsens kostnader inkl råvaror mm</v>
      </c>
      <c r="B136" s="33"/>
      <c r="C136" s="147">
        <f>SUM(C89+C125+C133)</f>
        <v>-630800</v>
      </c>
      <c r="D136" s="147">
        <v>-616772</v>
      </c>
      <c r="E136" s="242">
        <f>E89+E125+E133</f>
        <v>-705580.09</v>
      </c>
      <c r="F136" s="242"/>
      <c r="G136" s="242"/>
      <c r="H136" s="163">
        <f>H89+H125+H133</f>
        <v>-415089.44</v>
      </c>
      <c r="I136" s="163">
        <v>-384799.69000000006</v>
      </c>
      <c r="J136" s="163">
        <f>J89+J125+J133</f>
        <v>-686874.89999999991</v>
      </c>
      <c r="K136" s="163">
        <f>K89+K125+K133</f>
        <v>-725624.53999999992</v>
      </c>
      <c r="L136" s="163">
        <f>L89+L125+L133</f>
        <v>-607615.47</v>
      </c>
      <c r="M136" s="163">
        <f>M89+M125+M133</f>
        <v>-437772.44</v>
      </c>
      <c r="N136" s="149">
        <f>N89+N133+N125</f>
        <v>-408752.87</v>
      </c>
      <c r="O136" s="110">
        <f>O89+O133+O125</f>
        <v>-487742.48</v>
      </c>
      <c r="P136" s="111">
        <f>P89+P125+P133</f>
        <v>-471937.5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2" customFormat="1" x14ac:dyDescent="0.25">
      <c r="A137" s="51"/>
      <c r="B137" s="17"/>
      <c r="C137" s="207"/>
      <c r="D137" s="287"/>
      <c r="E137" s="270"/>
      <c r="F137" s="244"/>
      <c r="G137" s="244"/>
      <c r="H137" s="296"/>
      <c r="I137" s="191"/>
      <c r="J137" s="296"/>
      <c r="K137" s="191"/>
      <c r="L137" s="191"/>
      <c r="M137" s="191"/>
      <c r="N137" s="81"/>
      <c r="O137" s="156"/>
      <c r="P137" s="132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2" customFormat="1" x14ac:dyDescent="0.25">
      <c r="A138" s="51" t="s">
        <v>59</v>
      </c>
      <c r="B138" s="17" t="s">
        <v>60</v>
      </c>
      <c r="C138" s="208">
        <v>500</v>
      </c>
      <c r="D138" s="288"/>
      <c r="E138" s="271">
        <v>552.54999999999995</v>
      </c>
      <c r="F138" s="245"/>
      <c r="G138" s="245"/>
      <c r="H138" s="297"/>
      <c r="I138" s="198"/>
      <c r="J138" s="297"/>
      <c r="K138" s="198"/>
      <c r="L138" s="198"/>
      <c r="M138" s="198"/>
      <c r="N138" s="17">
        <v>118.94</v>
      </c>
      <c r="O138" s="157">
        <v>7419</v>
      </c>
      <c r="P138" s="132">
        <v>708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x14ac:dyDescent="0.25">
      <c r="A139" s="26"/>
      <c r="B139" s="6"/>
      <c r="C139" s="203"/>
      <c r="D139" s="278"/>
      <c r="E139" s="263"/>
      <c r="F139" s="239"/>
      <c r="G139" s="239"/>
      <c r="H139" s="290"/>
      <c r="I139" s="188"/>
      <c r="J139" s="290"/>
      <c r="K139" s="188"/>
      <c r="L139" s="188"/>
      <c r="M139" s="188"/>
      <c r="N139" s="6"/>
      <c r="O139" s="153"/>
      <c r="P139" s="127"/>
    </row>
    <row r="140" spans="1:68" s="3" customFormat="1" x14ac:dyDescent="0.25">
      <c r="A140" s="113" t="str">
        <f>"Beräknat resultat"</f>
        <v>Beräknat resultat</v>
      </c>
      <c r="B140" s="114"/>
      <c r="C140" s="150">
        <f>C57+C136</f>
        <v>3200</v>
      </c>
      <c r="D140" s="150" t="s">
        <v>149</v>
      </c>
      <c r="E140" s="150">
        <f>E57+E136+E138</f>
        <v>-55164.2</v>
      </c>
      <c r="F140" s="164" t="e">
        <f>-(D140-E140)</f>
        <v>#VALUE!</v>
      </c>
      <c r="G140" s="246"/>
      <c r="H140" s="164">
        <f>H57+H136+H138</f>
        <v>127696.61000000004</v>
      </c>
      <c r="I140" s="164">
        <v>135543.5799999999</v>
      </c>
      <c r="J140" s="164">
        <f>J57+J136+J138</f>
        <v>16136.70000000007</v>
      </c>
      <c r="K140" s="164">
        <f t="shared" ref="K140:P140" si="13">K57+K136+K138</f>
        <v>-200525.78999999992</v>
      </c>
      <c r="L140" s="164">
        <f t="shared" si="13"/>
        <v>-30377.719999999972</v>
      </c>
      <c r="M140" s="164">
        <f t="shared" si="13"/>
        <v>37955.56</v>
      </c>
      <c r="N140" s="150">
        <f t="shared" si="13"/>
        <v>25598.40000000002</v>
      </c>
      <c r="O140" s="115">
        <f t="shared" si="13"/>
        <v>72132.520000000019</v>
      </c>
      <c r="P140" s="116">
        <f t="shared" si="13"/>
        <v>-59346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ht="15.75" thickBot="1" x14ac:dyDescent="0.3">
      <c r="A141" s="37"/>
      <c r="B141" s="15"/>
      <c r="C141" s="15"/>
      <c r="D141" s="15"/>
      <c r="E141" s="15"/>
      <c r="F141" s="247"/>
      <c r="G141" s="247"/>
      <c r="H141" s="15"/>
      <c r="I141" s="15"/>
      <c r="J141" s="15"/>
      <c r="K141" s="15"/>
      <c r="L141" s="15"/>
      <c r="M141" s="15"/>
      <c r="N141" s="15"/>
      <c r="O141" s="109"/>
      <c r="P141" s="15"/>
    </row>
    <row r="142" spans="1:68" x14ac:dyDescent="0.25">
      <c r="E142" t="s">
        <v>180</v>
      </c>
      <c r="H142" t="s">
        <v>180</v>
      </c>
    </row>
    <row r="143" spans="1:68" x14ac:dyDescent="0.25">
      <c r="E143" t="s">
        <v>181</v>
      </c>
      <c r="H143" t="s">
        <v>181</v>
      </c>
    </row>
    <row r="144" spans="1:68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EBD2-136A-4319-BBAA-DC2892FE8B80}">
  <dimension ref="A1:BQ175"/>
  <sheetViews>
    <sheetView topLeftCell="A3" zoomScaleNormal="140" workbookViewId="0">
      <selection activeCell="A3" sqref="A3"/>
    </sheetView>
  </sheetViews>
  <sheetFormatPr defaultRowHeight="15" x14ac:dyDescent="0.25"/>
  <cols>
    <col min="1" max="1" width="12.28515625" customWidth="1"/>
    <col min="2" max="2" width="31.42578125" bestFit="1" customWidth="1"/>
    <col min="3" max="4" width="14.5703125" bestFit="1" customWidth="1"/>
    <col min="5" max="5" width="15.7109375" style="272" customWidth="1"/>
    <col min="6" max="6" width="14.42578125" style="248" bestFit="1" customWidth="1"/>
    <col min="7" max="7" width="4.5703125" style="248" customWidth="1"/>
    <col min="8" max="8" width="15.42578125" style="248" customWidth="1"/>
    <col min="9" max="9" width="15.7109375" customWidth="1"/>
    <col min="10" max="10" width="14.5703125" bestFit="1" customWidth="1"/>
    <col min="11" max="14" width="15.7109375" customWidth="1"/>
    <col min="15" max="16" width="14.28515625" customWidth="1"/>
    <col min="17" max="17" width="13.7109375" style="4" customWidth="1"/>
    <col min="18" max="18" width="20.7109375" bestFit="1" customWidth="1"/>
    <col min="19" max="19" width="16" customWidth="1"/>
    <col min="20" max="20" width="12.7109375" customWidth="1"/>
    <col min="21" max="21" width="32.7109375" bestFit="1" customWidth="1"/>
    <col min="22" max="22" width="11.7109375" bestFit="1" customWidth="1"/>
  </cols>
  <sheetData>
    <row r="1" spans="1:17" hidden="1" x14ac:dyDescent="0.25">
      <c r="A1" s="9"/>
      <c r="C1" s="47"/>
      <c r="D1" s="47"/>
      <c r="E1" s="257"/>
      <c r="F1" s="233"/>
      <c r="G1" s="233"/>
      <c r="H1" s="233"/>
      <c r="I1" s="194"/>
      <c r="J1" s="194"/>
      <c r="K1" s="194"/>
      <c r="L1" s="194"/>
      <c r="M1" s="194"/>
      <c r="N1" s="194"/>
      <c r="O1" s="47"/>
      <c r="P1" s="47"/>
      <c r="Q1" s="10"/>
    </row>
    <row r="2" spans="1:17" hidden="1" x14ac:dyDescent="0.25">
      <c r="A2" s="9"/>
      <c r="B2" s="87"/>
      <c r="C2" s="87"/>
      <c r="D2" s="87"/>
      <c r="E2" s="258"/>
      <c r="F2" s="234"/>
      <c r="G2" s="234"/>
      <c r="H2" s="234"/>
      <c r="I2" s="195"/>
      <c r="J2" s="195"/>
      <c r="K2" s="195"/>
      <c r="L2" s="195"/>
      <c r="M2" s="195"/>
      <c r="N2" s="195"/>
      <c r="O2" s="87"/>
      <c r="P2" s="7"/>
      <c r="Q2" s="10"/>
    </row>
    <row r="3" spans="1:17" x14ac:dyDescent="0.25">
      <c r="A3" s="6"/>
      <c r="B3" s="47" t="s">
        <v>0</v>
      </c>
      <c r="C3" s="200">
        <v>2024</v>
      </c>
      <c r="D3" s="275">
        <v>2023</v>
      </c>
      <c r="E3" s="259">
        <v>2023</v>
      </c>
      <c r="F3" s="235"/>
      <c r="G3" s="235"/>
      <c r="H3" s="235">
        <v>2022</v>
      </c>
      <c r="I3" s="58">
        <v>2021</v>
      </c>
      <c r="J3" s="58">
        <v>2020</v>
      </c>
      <c r="K3" s="58">
        <v>2019</v>
      </c>
      <c r="L3" s="58">
        <v>2018</v>
      </c>
      <c r="M3" s="58">
        <v>2017</v>
      </c>
      <c r="N3" s="58">
        <v>2016</v>
      </c>
      <c r="O3" s="58">
        <v>2015</v>
      </c>
      <c r="P3" s="58">
        <v>2014</v>
      </c>
      <c r="Q3" s="121">
        <v>2013</v>
      </c>
    </row>
    <row r="4" spans="1:17" ht="15.75" thickBot="1" x14ac:dyDescent="0.3">
      <c r="A4" s="16"/>
      <c r="B4" s="16"/>
      <c r="C4" s="201" t="s">
        <v>4</v>
      </c>
      <c r="D4" s="276" t="s">
        <v>4</v>
      </c>
      <c r="E4" s="260" t="s">
        <v>5</v>
      </c>
      <c r="F4" s="236" t="s">
        <v>129</v>
      </c>
      <c r="G4" s="236"/>
      <c r="H4" s="236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59" t="s">
        <v>5</v>
      </c>
      <c r="O4" s="59" t="s">
        <v>5</v>
      </c>
      <c r="P4" s="59" t="s">
        <v>5</v>
      </c>
      <c r="Q4" s="122" t="s">
        <v>5</v>
      </c>
    </row>
    <row r="5" spans="1:17" x14ac:dyDescent="0.25">
      <c r="A5" s="19"/>
      <c r="B5" s="20"/>
      <c r="C5" s="202"/>
      <c r="D5" s="277"/>
      <c r="E5" s="261"/>
      <c r="F5" s="237" t="s">
        <v>149</v>
      </c>
      <c r="G5" s="237"/>
      <c r="H5" s="237"/>
      <c r="I5" s="20"/>
      <c r="J5" s="20"/>
      <c r="K5" s="20"/>
      <c r="L5" s="20"/>
      <c r="M5" s="20"/>
      <c r="N5" s="20"/>
      <c r="O5" s="20"/>
      <c r="P5" s="20"/>
      <c r="Q5" s="123"/>
    </row>
    <row r="6" spans="1:17" x14ac:dyDescent="0.25">
      <c r="A6" s="22" t="str">
        <f>"Rörelsens intäkter och lagerförändring"</f>
        <v>Rörelsens intäkter och lagerförändring</v>
      </c>
      <c r="B6" s="6"/>
      <c r="C6" s="203"/>
      <c r="D6" s="278"/>
      <c r="E6" s="262"/>
      <c r="F6" s="238"/>
      <c r="G6" s="238"/>
      <c r="H6" s="238"/>
      <c r="I6" s="6"/>
      <c r="J6" s="6"/>
      <c r="K6" s="6"/>
      <c r="L6" s="6"/>
      <c r="M6" s="6"/>
      <c r="N6" s="6"/>
      <c r="O6" s="6"/>
      <c r="P6" s="6"/>
      <c r="Q6" s="124"/>
    </row>
    <row r="7" spans="1:17" x14ac:dyDescent="0.25">
      <c r="A7" s="22" t="str">
        <f>"Nettoomsättning"</f>
        <v>Nettoomsättning</v>
      </c>
      <c r="B7" s="6"/>
      <c r="C7" s="203"/>
      <c r="D7" s="278"/>
      <c r="E7" s="262"/>
      <c r="F7" s="238"/>
      <c r="G7" s="238"/>
      <c r="H7" s="238"/>
      <c r="I7" s="6"/>
      <c r="J7" s="6"/>
      <c r="K7" s="6"/>
      <c r="L7" s="6"/>
      <c r="M7" s="6"/>
      <c r="N7" s="6"/>
      <c r="O7" s="6"/>
      <c r="P7" s="6"/>
      <c r="Q7" s="124"/>
    </row>
    <row r="8" spans="1:17" x14ac:dyDescent="0.25">
      <c r="A8" s="186" t="str">
        <f>"3110"</f>
        <v>3110</v>
      </c>
      <c r="B8" s="5" t="str">
        <f>"Medlemsavgifter"</f>
        <v>Medlemsavgifter</v>
      </c>
      <c r="C8" s="210">
        <v>36600</v>
      </c>
      <c r="D8" s="279">
        <v>27000</v>
      </c>
      <c r="E8" s="263">
        <v>21200</v>
      </c>
      <c r="F8" s="239">
        <f>-(D8-E8)</f>
        <v>-5800</v>
      </c>
      <c r="G8" s="239"/>
      <c r="H8" s="239">
        <v>26600</v>
      </c>
      <c r="I8" s="290">
        <v>21800</v>
      </c>
      <c r="J8" s="188">
        <v>24600</v>
      </c>
      <c r="K8" s="290">
        <v>88115</v>
      </c>
      <c r="L8" s="188">
        <v>83200</v>
      </c>
      <c r="M8" s="188">
        <v>95550</v>
      </c>
      <c r="N8" s="188">
        <v>94050</v>
      </c>
      <c r="O8" s="165">
        <v>92225</v>
      </c>
      <c r="P8" s="153">
        <v>91000</v>
      </c>
      <c r="Q8" s="125">
        <v>83650</v>
      </c>
    </row>
    <row r="9" spans="1:17" x14ac:dyDescent="0.25">
      <c r="A9" s="186" t="s">
        <v>155</v>
      </c>
      <c r="B9" s="5" t="s">
        <v>156</v>
      </c>
      <c r="C9" s="210">
        <v>65000</v>
      </c>
      <c r="D9" s="279">
        <v>55000</v>
      </c>
      <c r="E9" s="263">
        <v>50100</v>
      </c>
      <c r="F9" s="239">
        <f>-(D9-E9)</f>
        <v>-4900</v>
      </c>
      <c r="G9" s="239"/>
      <c r="H9" s="239">
        <v>54500</v>
      </c>
      <c r="I9" s="290">
        <v>53500</v>
      </c>
      <c r="J9" s="188">
        <v>50300</v>
      </c>
      <c r="K9" s="290"/>
      <c r="L9" s="188"/>
      <c r="M9" s="188"/>
      <c r="N9" s="188"/>
      <c r="O9" s="165"/>
      <c r="P9" s="153"/>
      <c r="Q9" s="125"/>
    </row>
    <row r="10" spans="1:17" x14ac:dyDescent="0.25">
      <c r="A10" s="186" t="str">
        <f>"3120"</f>
        <v>3120</v>
      </c>
      <c r="B10" s="5" t="str">
        <f>"Intäkter kanothyra"</f>
        <v>Intäkter kanothyra</v>
      </c>
      <c r="C10" s="210">
        <v>11000</v>
      </c>
      <c r="D10" s="279">
        <v>14000</v>
      </c>
      <c r="E10" s="263">
        <v>10450</v>
      </c>
      <c r="F10" s="239">
        <f t="shared" ref="F10:F33" si="0">-(D10-E10)</f>
        <v>-3550</v>
      </c>
      <c r="G10" s="239"/>
      <c r="H10" s="239">
        <v>13200</v>
      </c>
      <c r="I10" s="290">
        <v>8900</v>
      </c>
      <c r="J10" s="188">
        <v>11050</v>
      </c>
      <c r="K10" s="290">
        <v>20000</v>
      </c>
      <c r="L10" s="188">
        <v>14605</v>
      </c>
      <c r="M10" s="188">
        <v>24825</v>
      </c>
      <c r="N10" s="188">
        <v>15440</v>
      </c>
      <c r="O10" s="165">
        <v>13125</v>
      </c>
      <c r="P10" s="153">
        <v>17450</v>
      </c>
      <c r="Q10" s="125">
        <v>13450</v>
      </c>
    </row>
    <row r="11" spans="1:17" x14ac:dyDescent="0.25">
      <c r="A11" s="186" t="str">
        <f>"3130"</f>
        <v>3130</v>
      </c>
      <c r="B11" s="5" t="str">
        <f>"Intäkter kanotplats"</f>
        <v>Intäkter kanotplats</v>
      </c>
      <c r="C11" s="210">
        <v>35000</v>
      </c>
      <c r="D11" s="279">
        <v>25000</v>
      </c>
      <c r="E11" s="263">
        <v>19550</v>
      </c>
      <c r="F11" s="239">
        <f t="shared" si="0"/>
        <v>-5450</v>
      </c>
      <c r="G11" s="239"/>
      <c r="H11" s="239">
        <v>15650</v>
      </c>
      <c r="I11" s="290">
        <v>18300</v>
      </c>
      <c r="J11" s="188">
        <v>20803.59</v>
      </c>
      <c r="K11" s="290">
        <v>19450</v>
      </c>
      <c r="L11" s="188">
        <v>22300</v>
      </c>
      <c r="M11" s="188">
        <v>21800</v>
      </c>
      <c r="N11" s="188">
        <v>24625</v>
      </c>
      <c r="O11" s="165">
        <v>23375</v>
      </c>
      <c r="P11" s="153">
        <v>17713</v>
      </c>
      <c r="Q11" s="125">
        <v>18175</v>
      </c>
    </row>
    <row r="12" spans="1:17" x14ac:dyDescent="0.25">
      <c r="A12" s="186" t="str">
        <f>"3140"</f>
        <v>3140</v>
      </c>
      <c r="B12" s="5" t="s">
        <v>171</v>
      </c>
      <c r="C12" s="210">
        <v>30000</v>
      </c>
      <c r="D12" s="279">
        <v>45000</v>
      </c>
      <c r="E12" s="263">
        <v>11610</v>
      </c>
      <c r="F12" s="239">
        <f t="shared" si="0"/>
        <v>-33390</v>
      </c>
      <c r="G12" s="239"/>
      <c r="H12" s="239">
        <v>41280</v>
      </c>
      <c r="I12" s="290">
        <v>66520</v>
      </c>
      <c r="J12" s="188">
        <v>61190</v>
      </c>
      <c r="K12" s="290">
        <v>28330</v>
      </c>
      <c r="L12" s="188">
        <v>13980</v>
      </c>
      <c r="M12" s="188">
        <v>19500</v>
      </c>
      <c r="N12" s="188">
        <v>17550</v>
      </c>
      <c r="O12" s="165">
        <v>25525</v>
      </c>
      <c r="P12" s="153">
        <v>35750</v>
      </c>
      <c r="Q12" s="125">
        <v>24535</v>
      </c>
    </row>
    <row r="13" spans="1:17" x14ac:dyDescent="0.25">
      <c r="A13" s="186" t="str">
        <f>"3142"</f>
        <v>3142</v>
      </c>
      <c r="B13" s="5" t="str">
        <f>"Prova-på-paddling"</f>
        <v>Prova-på-paddling</v>
      </c>
      <c r="C13" s="210">
        <v>0</v>
      </c>
      <c r="D13" s="279">
        <v>5000</v>
      </c>
      <c r="E13" s="263">
        <v>0</v>
      </c>
      <c r="F13" s="239">
        <f t="shared" si="0"/>
        <v>-5000</v>
      </c>
      <c r="G13" s="239"/>
      <c r="H13" s="239">
        <v>11850</v>
      </c>
      <c r="I13" s="290">
        <v>1700</v>
      </c>
      <c r="J13" s="188">
        <v>2100</v>
      </c>
      <c r="K13" s="290">
        <v>1300</v>
      </c>
      <c r="L13" s="188">
        <v>0</v>
      </c>
      <c r="M13" s="188">
        <v>10500</v>
      </c>
      <c r="N13" s="188">
        <v>13600</v>
      </c>
      <c r="O13" s="165">
        <v>12400</v>
      </c>
      <c r="P13" s="153">
        <v>18000</v>
      </c>
      <c r="Q13" s="125">
        <v>7200</v>
      </c>
    </row>
    <row r="14" spans="1:17" x14ac:dyDescent="0.25">
      <c r="A14" s="186" t="s">
        <v>6</v>
      </c>
      <c r="B14" s="5" t="s">
        <v>7</v>
      </c>
      <c r="C14" s="210">
        <v>15000</v>
      </c>
      <c r="D14" s="279">
        <v>30000</v>
      </c>
      <c r="E14" s="263">
        <v>69774</v>
      </c>
      <c r="F14" s="239">
        <f t="shared" si="0"/>
        <v>39774</v>
      </c>
      <c r="G14" s="239"/>
      <c r="H14" s="239">
        <v>30140</v>
      </c>
      <c r="I14" s="290"/>
      <c r="J14" s="188">
        <v>0</v>
      </c>
      <c r="K14" s="290">
        <v>2150</v>
      </c>
      <c r="L14" s="188">
        <v>5100</v>
      </c>
      <c r="M14" s="188">
        <v>4700</v>
      </c>
      <c r="N14" s="188">
        <v>16200</v>
      </c>
      <c r="O14" s="165">
        <v>6000</v>
      </c>
      <c r="P14" s="153">
        <v>3100</v>
      </c>
      <c r="Q14" s="125">
        <v>7600</v>
      </c>
    </row>
    <row r="15" spans="1:17" x14ac:dyDescent="0.25">
      <c r="A15" s="186" t="str">
        <f>"3211"</f>
        <v>3211</v>
      </c>
      <c r="B15" s="5" t="str">
        <f>"Anmälningsavgifter"</f>
        <v>Anmälningsavgifter</v>
      </c>
      <c r="C15" s="210">
        <v>60000</v>
      </c>
      <c r="D15" s="279">
        <v>30000</v>
      </c>
      <c r="E15" s="263">
        <v>27600</v>
      </c>
      <c r="F15" s="255">
        <f t="shared" si="0"/>
        <v>-2400</v>
      </c>
      <c r="G15" s="239"/>
      <c r="H15" s="239">
        <v>30919</v>
      </c>
      <c r="I15" s="290">
        <v>22800</v>
      </c>
      <c r="J15" s="188">
        <v>14275</v>
      </c>
      <c r="K15" s="290">
        <v>29875</v>
      </c>
      <c r="L15" s="188">
        <v>11980</v>
      </c>
      <c r="M15" s="188">
        <v>7425</v>
      </c>
      <c r="N15" s="188">
        <v>7800</v>
      </c>
      <c r="O15" s="165">
        <v>6400</v>
      </c>
      <c r="P15" s="153">
        <v>12000</v>
      </c>
      <c r="Q15" s="125">
        <v>13120</v>
      </c>
    </row>
    <row r="16" spans="1:17" x14ac:dyDescent="0.25">
      <c r="A16" s="186" t="str">
        <f>"3212"</f>
        <v>3212</v>
      </c>
      <c r="B16" s="5" t="str">
        <f>"Transportavgift"</f>
        <v>Transportavgift</v>
      </c>
      <c r="C16" s="210"/>
      <c r="D16" s="279"/>
      <c r="E16" s="263"/>
      <c r="F16" s="239">
        <f t="shared" si="0"/>
        <v>0</v>
      </c>
      <c r="G16" s="239"/>
      <c r="H16" s="239"/>
      <c r="I16" s="290"/>
      <c r="J16" s="188"/>
      <c r="K16" s="290"/>
      <c r="L16" s="188"/>
      <c r="M16" s="188"/>
      <c r="N16" s="188"/>
      <c r="O16" s="165">
        <v>400</v>
      </c>
      <c r="P16" s="153">
        <v>100</v>
      </c>
      <c r="Q16" s="125">
        <v>1800</v>
      </c>
    </row>
    <row r="17" spans="1:20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45000</v>
      </c>
      <c r="D17" s="279">
        <v>40000</v>
      </c>
      <c r="E17" s="263">
        <v>45085</v>
      </c>
      <c r="F17" s="255">
        <f t="shared" si="0"/>
        <v>5085</v>
      </c>
      <c r="G17" s="239"/>
      <c r="H17" s="239">
        <v>44240</v>
      </c>
      <c r="I17" s="290">
        <v>34527</v>
      </c>
      <c r="J17" s="188">
        <v>7070</v>
      </c>
      <c r="K17" s="290">
        <v>42320</v>
      </c>
      <c r="L17" s="188">
        <v>46140</v>
      </c>
      <c r="M17" s="188">
        <v>10126.75</v>
      </c>
      <c r="N17" s="188">
        <v>7635</v>
      </c>
      <c r="O17" s="165">
        <v>5390</v>
      </c>
      <c r="P17" s="153">
        <v>12555</v>
      </c>
      <c r="Q17" s="125">
        <v>2400</v>
      </c>
    </row>
    <row r="18" spans="1:20" x14ac:dyDescent="0.25">
      <c r="A18" s="186" t="s">
        <v>172</v>
      </c>
      <c r="B18" s="5" t="s">
        <v>173</v>
      </c>
      <c r="C18" s="210">
        <v>10000</v>
      </c>
      <c r="D18" s="279">
        <v>0</v>
      </c>
      <c r="E18" s="263">
        <v>17550</v>
      </c>
      <c r="F18" s="255">
        <f t="shared" si="0"/>
        <v>17550</v>
      </c>
      <c r="G18" s="239"/>
      <c r="H18" s="239">
        <v>0</v>
      </c>
      <c r="I18" s="290">
        <v>3300</v>
      </c>
      <c r="J18" s="188"/>
      <c r="K18" s="290"/>
      <c r="L18" s="188"/>
      <c r="M18" s="188"/>
      <c r="N18" s="188"/>
      <c r="O18" s="165"/>
      <c r="P18" s="153"/>
      <c r="Q18" s="125"/>
    </row>
    <row r="19" spans="1:20" x14ac:dyDescent="0.25">
      <c r="A19" s="186" t="str">
        <f>"3221"</f>
        <v>3221</v>
      </c>
      <c r="B19" s="5" t="s">
        <v>122</v>
      </c>
      <c r="C19" s="210">
        <v>1500</v>
      </c>
      <c r="D19" s="279">
        <v>25000</v>
      </c>
      <c r="E19" s="263"/>
      <c r="F19" s="239">
        <f t="shared" si="0"/>
        <v>-25000</v>
      </c>
      <c r="G19" s="239"/>
      <c r="H19" s="239">
        <v>25000</v>
      </c>
      <c r="I19" s="290"/>
      <c r="J19" s="188">
        <v>0</v>
      </c>
      <c r="K19" s="290">
        <v>9750</v>
      </c>
      <c r="L19" s="188">
        <v>2200</v>
      </c>
      <c r="M19" s="188">
        <v>8900</v>
      </c>
      <c r="N19" s="188">
        <v>9850</v>
      </c>
      <c r="O19" s="165">
        <v>8200</v>
      </c>
      <c r="P19" s="153">
        <v>5450</v>
      </c>
      <c r="Q19" s="125">
        <v>1650</v>
      </c>
    </row>
    <row r="20" spans="1:20" x14ac:dyDescent="0.25">
      <c r="A20" s="186" t="s">
        <v>11</v>
      </c>
      <c r="B20" s="5" t="s">
        <v>123</v>
      </c>
      <c r="C20" s="210"/>
      <c r="D20" s="279"/>
      <c r="E20" s="263"/>
      <c r="F20" s="239">
        <f t="shared" si="0"/>
        <v>0</v>
      </c>
      <c r="G20" s="239"/>
      <c r="H20" s="239"/>
      <c r="I20" s="290"/>
      <c r="J20" s="188"/>
      <c r="K20" s="290"/>
      <c r="L20" s="188"/>
      <c r="M20" s="188"/>
      <c r="N20" s="188"/>
      <c r="O20" s="165"/>
      <c r="P20" s="153"/>
      <c r="Q20" s="125"/>
    </row>
    <row r="21" spans="1:20" x14ac:dyDescent="0.25">
      <c r="A21" s="186" t="str">
        <f>"3223"</f>
        <v>3223</v>
      </c>
      <c r="B21" s="5" t="str">
        <f>"Intäkter SM läger"</f>
        <v>Intäkter SM läger</v>
      </c>
      <c r="C21" s="210">
        <v>25000</v>
      </c>
      <c r="D21" s="279">
        <v>25000</v>
      </c>
      <c r="E21" s="263">
        <v>23000</v>
      </c>
      <c r="F21" s="255">
        <f t="shared" si="0"/>
        <v>-2000</v>
      </c>
      <c r="G21" s="239"/>
      <c r="H21" s="239">
        <v>22000</v>
      </c>
      <c r="I21" s="290"/>
      <c r="J21" s="188">
        <v>0</v>
      </c>
      <c r="K21" s="290">
        <v>46850</v>
      </c>
      <c r="L21" s="188">
        <v>22540</v>
      </c>
      <c r="M21" s="188">
        <v>22500</v>
      </c>
      <c r="N21" s="188">
        <v>17100</v>
      </c>
      <c r="O21" s="165">
        <v>18000</v>
      </c>
      <c r="P21" s="153">
        <v>7500</v>
      </c>
      <c r="Q21" s="125">
        <v>8400</v>
      </c>
    </row>
    <row r="22" spans="1:20" x14ac:dyDescent="0.25">
      <c r="A22" s="186" t="s">
        <v>13</v>
      </c>
      <c r="B22" s="5" t="s">
        <v>157</v>
      </c>
      <c r="C22" s="210"/>
      <c r="D22" s="279">
        <v>0</v>
      </c>
      <c r="E22" s="263"/>
      <c r="F22" s="255">
        <f t="shared" si="0"/>
        <v>0</v>
      </c>
      <c r="G22" s="239"/>
      <c r="H22" s="239">
        <v>0</v>
      </c>
      <c r="I22" s="290">
        <v>0</v>
      </c>
      <c r="J22" s="188">
        <v>0</v>
      </c>
      <c r="K22" s="290">
        <v>60814</v>
      </c>
      <c r="L22" s="188">
        <v>24271</v>
      </c>
      <c r="M22" s="188">
        <v>4052</v>
      </c>
      <c r="N22" s="188"/>
      <c r="O22" s="165">
        <v>5434</v>
      </c>
      <c r="P22" s="153">
        <v>11030</v>
      </c>
      <c r="Q22" s="125">
        <v>13415.5</v>
      </c>
    </row>
    <row r="23" spans="1:20" x14ac:dyDescent="0.25">
      <c r="A23" s="186" t="s">
        <v>130</v>
      </c>
      <c r="B23" s="5" t="s">
        <v>131</v>
      </c>
      <c r="C23" s="210"/>
      <c r="D23" s="279">
        <v>0</v>
      </c>
      <c r="E23" s="263"/>
      <c r="F23" s="255">
        <f t="shared" si="0"/>
        <v>0</v>
      </c>
      <c r="G23" s="239"/>
      <c r="H23" s="239">
        <v>0</v>
      </c>
      <c r="I23" s="290">
        <v>0</v>
      </c>
      <c r="J23" s="188">
        <v>8250</v>
      </c>
      <c r="K23" s="290">
        <v>7247</v>
      </c>
      <c r="L23" s="188">
        <v>7248</v>
      </c>
      <c r="M23" s="188">
        <v>0</v>
      </c>
      <c r="N23" s="188"/>
      <c r="O23" s="165"/>
      <c r="P23" s="153"/>
      <c r="Q23" s="125"/>
    </row>
    <row r="24" spans="1:20" x14ac:dyDescent="0.25">
      <c r="A24" s="186" t="s">
        <v>158</v>
      </c>
      <c r="B24" s="5" t="s">
        <v>159</v>
      </c>
      <c r="C24" s="210">
        <v>12500</v>
      </c>
      <c r="D24" s="279">
        <v>30000</v>
      </c>
      <c r="E24" s="263">
        <v>7000</v>
      </c>
      <c r="F24" s="255">
        <f t="shared" si="0"/>
        <v>-23000</v>
      </c>
      <c r="G24" s="239"/>
      <c r="H24" s="239">
        <v>3250</v>
      </c>
      <c r="I24" s="290">
        <v>0</v>
      </c>
      <c r="J24" s="188">
        <v>12699.5</v>
      </c>
      <c r="K24" s="290"/>
      <c r="L24" s="188"/>
      <c r="M24" s="188"/>
      <c r="N24" s="188"/>
      <c r="O24" s="165"/>
      <c r="P24" s="153"/>
      <c r="Q24" s="125"/>
    </row>
    <row r="25" spans="1:20" x14ac:dyDescent="0.25">
      <c r="A25" s="186" t="str">
        <f>"3310"</f>
        <v>3310</v>
      </c>
      <c r="B25" s="5" t="s">
        <v>160</v>
      </c>
      <c r="C25" s="210">
        <v>2000</v>
      </c>
      <c r="D25" s="279">
        <v>3000</v>
      </c>
      <c r="E25" s="263">
        <v>1946</v>
      </c>
      <c r="F25" s="255">
        <f t="shared" si="0"/>
        <v>-1054</v>
      </c>
      <c r="G25" s="239"/>
      <c r="H25" s="239">
        <v>2844</v>
      </c>
      <c r="I25" s="290">
        <v>2759</v>
      </c>
      <c r="J25" s="188">
        <v>3058</v>
      </c>
      <c r="K25" s="290">
        <v>3254</v>
      </c>
      <c r="L25" s="188">
        <v>2694</v>
      </c>
      <c r="M25" s="188">
        <v>3787</v>
      </c>
      <c r="N25" s="188">
        <v>910</v>
      </c>
      <c r="O25" s="165">
        <v>1092</v>
      </c>
      <c r="P25" s="153">
        <v>3943</v>
      </c>
      <c r="Q25" s="125">
        <v>2388</v>
      </c>
    </row>
    <row r="26" spans="1:20" x14ac:dyDescent="0.25">
      <c r="A26" s="186" t="s">
        <v>15</v>
      </c>
      <c r="B26" s="5" t="s">
        <v>16</v>
      </c>
      <c r="C26" s="210"/>
      <c r="D26" s="279"/>
      <c r="E26" s="263"/>
      <c r="F26" s="239">
        <f t="shared" si="0"/>
        <v>0</v>
      </c>
      <c r="G26" s="239"/>
      <c r="H26" s="239"/>
      <c r="I26" s="290"/>
      <c r="J26" s="188"/>
      <c r="K26" s="290"/>
      <c r="L26" s="188"/>
      <c r="M26" s="188"/>
      <c r="N26" s="188"/>
      <c r="O26" s="165"/>
      <c r="P26" s="153"/>
      <c r="Q26" s="125"/>
    </row>
    <row r="27" spans="1:20" x14ac:dyDescent="0.25">
      <c r="A27" s="186" t="str">
        <f>"3420"</f>
        <v>3420</v>
      </c>
      <c r="B27" s="5" t="str">
        <f>"Intäkter Sponsorer"</f>
        <v>Intäkter Sponsorer</v>
      </c>
      <c r="C27" s="210">
        <v>40000</v>
      </c>
      <c r="D27" s="279">
        <v>45000</v>
      </c>
      <c r="E27" s="263">
        <v>69500</v>
      </c>
      <c r="F27" s="239">
        <f t="shared" si="0"/>
        <v>24500</v>
      </c>
      <c r="G27" s="239"/>
      <c r="H27" s="239">
        <v>35500</v>
      </c>
      <c r="I27" s="290">
        <v>44500</v>
      </c>
      <c r="J27" s="188">
        <v>40500</v>
      </c>
      <c r="K27" s="290">
        <v>39000</v>
      </c>
      <c r="L27" s="188">
        <v>38500</v>
      </c>
      <c r="M27" s="188">
        <v>49385</v>
      </c>
      <c r="N27" s="188">
        <v>37000</v>
      </c>
      <c r="O27" s="165">
        <v>54000</v>
      </c>
      <c r="P27" s="153">
        <v>62570</v>
      </c>
      <c r="Q27" s="125">
        <v>41400</v>
      </c>
      <c r="S27" s="4"/>
      <c r="T27" s="4"/>
    </row>
    <row r="28" spans="1:20" x14ac:dyDescent="0.25">
      <c r="A28" s="186" t="str">
        <f>"3421"</f>
        <v>3421</v>
      </c>
      <c r="B28" s="5" t="s">
        <v>161</v>
      </c>
      <c r="C28" s="210">
        <f>70000</f>
        <v>70000</v>
      </c>
      <c r="D28" s="279">
        <v>30000</v>
      </c>
      <c r="E28" s="263">
        <v>186133.05</v>
      </c>
      <c r="F28" s="255">
        <f t="shared" si="0"/>
        <v>156133.04999999999</v>
      </c>
      <c r="G28" s="239"/>
      <c r="H28" s="239">
        <v>30000</v>
      </c>
      <c r="I28" s="290">
        <v>30000</v>
      </c>
      <c r="J28" s="188">
        <v>30000</v>
      </c>
      <c r="K28" s="290">
        <v>30000</v>
      </c>
      <c r="L28" s="188">
        <v>62500</v>
      </c>
      <c r="M28" s="188">
        <v>24000</v>
      </c>
      <c r="N28" s="188">
        <v>93000</v>
      </c>
      <c r="O28" s="165">
        <v>28000</v>
      </c>
      <c r="P28" s="153">
        <v>73000</v>
      </c>
      <c r="Q28" s="125">
        <v>28000</v>
      </c>
    </row>
    <row r="29" spans="1:20" x14ac:dyDescent="0.25">
      <c r="A29" s="186" t="s">
        <v>18</v>
      </c>
      <c r="B29" s="5" t="s">
        <v>189</v>
      </c>
      <c r="C29" s="210">
        <v>4000</v>
      </c>
      <c r="D29" s="279">
        <v>0</v>
      </c>
      <c r="E29" s="263">
        <v>8500</v>
      </c>
      <c r="F29" s="255">
        <f t="shared" si="0"/>
        <v>8500</v>
      </c>
      <c r="G29" s="239"/>
      <c r="H29" s="239">
        <v>5000</v>
      </c>
      <c r="I29" s="290"/>
      <c r="J29" s="188">
        <v>0</v>
      </c>
      <c r="K29" s="290">
        <v>51248</v>
      </c>
      <c r="L29" s="188">
        <v>35000</v>
      </c>
      <c r="M29" s="188">
        <v>29500</v>
      </c>
      <c r="N29" s="188">
        <v>27000</v>
      </c>
      <c r="O29" s="165">
        <v>28775.33</v>
      </c>
      <c r="P29" s="153">
        <v>26179</v>
      </c>
      <c r="Q29" s="125">
        <v>50350</v>
      </c>
    </row>
    <row r="30" spans="1:20" x14ac:dyDescent="0.25">
      <c r="A30" s="186" t="str">
        <f>"3430"</f>
        <v>3430</v>
      </c>
      <c r="B30" s="5" t="str">
        <f>"Intäkter föräldrarföreningen"</f>
        <v>Intäkter föräldrarföreningen</v>
      </c>
      <c r="C30" s="210"/>
      <c r="D30" s="279">
        <v>0</v>
      </c>
      <c r="E30" s="263"/>
      <c r="F30" s="239">
        <f t="shared" si="0"/>
        <v>0</v>
      </c>
      <c r="G30" s="239"/>
      <c r="H30" s="239"/>
      <c r="I30" s="290"/>
      <c r="J30" s="188">
        <v>0</v>
      </c>
      <c r="K30" s="290">
        <v>30693</v>
      </c>
      <c r="L30" s="188"/>
      <c r="M30" s="188"/>
      <c r="N30" s="188"/>
      <c r="O30" s="165"/>
      <c r="P30" s="153"/>
      <c r="Q30" s="127"/>
    </row>
    <row r="31" spans="1:20" x14ac:dyDescent="0.25">
      <c r="A31" s="186" t="s">
        <v>190</v>
      </c>
      <c r="B31" s="5" t="s">
        <v>191</v>
      </c>
      <c r="C31" s="210"/>
      <c r="D31" s="279"/>
      <c r="E31" s="263">
        <v>7000</v>
      </c>
      <c r="F31" s="239"/>
      <c r="G31" s="239"/>
      <c r="H31" s="239"/>
      <c r="I31" s="290"/>
      <c r="J31" s="188"/>
      <c r="K31" s="290"/>
      <c r="L31" s="188"/>
      <c r="M31" s="188"/>
      <c r="N31" s="188"/>
      <c r="O31" s="165"/>
      <c r="P31" s="153"/>
      <c r="Q31" s="127"/>
    </row>
    <row r="32" spans="1:20" x14ac:dyDescent="0.25">
      <c r="A32" s="186" t="str">
        <f>"3520"</f>
        <v>3520</v>
      </c>
      <c r="B32" s="5" t="str">
        <f>"Intäkter Kanotförsäkring"</f>
        <v>Intäkter Kanotförsäkring</v>
      </c>
      <c r="C32" s="210"/>
      <c r="D32" s="279"/>
      <c r="E32" s="263"/>
      <c r="F32" s="239">
        <f t="shared" si="0"/>
        <v>0</v>
      </c>
      <c r="G32" s="239"/>
      <c r="H32" s="239"/>
      <c r="I32" s="290"/>
      <c r="J32" s="188"/>
      <c r="K32" s="290"/>
      <c r="L32" s="188"/>
      <c r="M32" s="188"/>
      <c r="N32" s="188">
        <v>430</v>
      </c>
      <c r="O32" s="165">
        <v>2100</v>
      </c>
      <c r="P32" s="153">
        <v>3458</v>
      </c>
      <c r="Q32" s="127">
        <v>3830</v>
      </c>
    </row>
    <row r="33" spans="1:21" x14ac:dyDescent="0.25">
      <c r="A33" s="186" t="s">
        <v>95</v>
      </c>
      <c r="B33" s="5" t="s">
        <v>150</v>
      </c>
      <c r="C33" s="210">
        <v>10000</v>
      </c>
      <c r="D33" s="279">
        <v>35000</v>
      </c>
      <c r="E33" s="263">
        <v>11919</v>
      </c>
      <c r="F33" s="239">
        <f t="shared" si="0"/>
        <v>-23081</v>
      </c>
      <c r="G33" s="239"/>
      <c r="H33" s="239">
        <v>30575</v>
      </c>
      <c r="I33" s="290">
        <v>87517</v>
      </c>
      <c r="J33" s="188">
        <v>4559</v>
      </c>
      <c r="K33" s="290">
        <v>17369</v>
      </c>
      <c r="L33" s="188"/>
      <c r="M33" s="188"/>
      <c r="N33" s="188"/>
      <c r="O33" s="165"/>
      <c r="P33" s="153"/>
      <c r="Q33" s="127"/>
    </row>
    <row r="34" spans="1:21" x14ac:dyDescent="0.25">
      <c r="A34" s="186" t="s">
        <v>133</v>
      </c>
      <c r="B34" s="5" t="s">
        <v>134</v>
      </c>
      <c r="C34" s="210">
        <v>10000</v>
      </c>
      <c r="D34" s="279"/>
      <c r="E34" s="263"/>
      <c r="F34" s="239"/>
      <c r="G34" s="239"/>
      <c r="H34" s="239"/>
      <c r="I34" s="290"/>
      <c r="J34" s="188"/>
      <c r="K34" s="290"/>
      <c r="L34" s="188"/>
      <c r="M34" s="188">
        <v>1200</v>
      </c>
      <c r="N34" s="188"/>
      <c r="O34" s="165"/>
      <c r="P34" s="153"/>
      <c r="Q34" s="127"/>
    </row>
    <row r="35" spans="1:21" x14ac:dyDescent="0.25">
      <c r="A35" s="186" t="s">
        <v>20</v>
      </c>
      <c r="B35" s="5" t="s">
        <v>21</v>
      </c>
      <c r="C35" s="210"/>
      <c r="D35" s="279"/>
      <c r="E35" s="263"/>
      <c r="F35" s="239">
        <f>-(D35-E35)</f>
        <v>0</v>
      </c>
      <c r="G35" s="239"/>
      <c r="H35" s="239"/>
      <c r="I35" s="290"/>
      <c r="J35" s="188"/>
      <c r="K35" s="290"/>
      <c r="L35" s="188"/>
      <c r="M35" s="188"/>
      <c r="N35" s="188"/>
      <c r="O35" s="165"/>
      <c r="P35" s="153">
        <v>61624</v>
      </c>
      <c r="Q35" s="127"/>
    </row>
    <row r="36" spans="1:21" x14ac:dyDescent="0.25">
      <c r="A36" s="186" t="str">
        <f>"3710"</f>
        <v>3710</v>
      </c>
      <c r="B36" s="5" t="str">
        <f>"Kommunala bidrag"</f>
        <v>Kommunala bidrag</v>
      </c>
      <c r="C36" s="210">
        <v>75000</v>
      </c>
      <c r="D36" s="279">
        <v>85000</v>
      </c>
      <c r="E36" s="263">
        <v>76889</v>
      </c>
      <c r="F36" s="255">
        <f>-(D36-E36)</f>
        <v>-8111</v>
      </c>
      <c r="G36" s="239"/>
      <c r="H36" s="239">
        <v>87386</v>
      </c>
      <c r="I36" s="290">
        <v>75387</v>
      </c>
      <c r="J36" s="188">
        <v>93899</v>
      </c>
      <c r="K36" s="290">
        <v>76399</v>
      </c>
      <c r="L36" s="188">
        <v>53067</v>
      </c>
      <c r="M36" s="188">
        <v>71801</v>
      </c>
      <c r="N36" s="188">
        <v>51130</v>
      </c>
      <c r="O36" s="165">
        <v>54852</v>
      </c>
      <c r="P36" s="153">
        <v>52860</v>
      </c>
      <c r="Q36" s="127">
        <v>51090</v>
      </c>
    </row>
    <row r="37" spans="1:21" x14ac:dyDescent="0.25">
      <c r="A37" s="186" t="s">
        <v>162</v>
      </c>
      <c r="B37" s="5" t="s">
        <v>163</v>
      </c>
      <c r="C37" s="210">
        <v>20000</v>
      </c>
      <c r="D37" s="279">
        <v>20000</v>
      </c>
      <c r="E37" s="263">
        <v>20000</v>
      </c>
      <c r="F37" s="255">
        <f>-(D37-E37)</f>
        <v>0</v>
      </c>
      <c r="G37" s="239"/>
      <c r="H37" s="239">
        <v>46752.34</v>
      </c>
      <c r="I37" s="290">
        <v>24019</v>
      </c>
      <c r="J37" s="188">
        <v>82060</v>
      </c>
      <c r="K37" s="290"/>
      <c r="L37" s="188"/>
      <c r="M37" s="188"/>
      <c r="N37" s="188"/>
      <c r="O37" s="165"/>
      <c r="P37" s="153"/>
      <c r="Q37" s="127"/>
    </row>
    <row r="38" spans="1:21" x14ac:dyDescent="0.25">
      <c r="A38" s="186" t="str">
        <f>"3730"</f>
        <v>3730</v>
      </c>
      <c r="B38" s="5" t="str">
        <f>"LOK-stöd Riksidrottsförbundet"</f>
        <v>LOK-stöd Riksidrottsförbundet</v>
      </c>
      <c r="C38" s="210">
        <v>50000</v>
      </c>
      <c r="D38" s="279">
        <v>60000</v>
      </c>
      <c r="E38" s="263">
        <v>65565.22</v>
      </c>
      <c r="F38" s="255">
        <f>-(D38-E38)</f>
        <v>5565.2200000000012</v>
      </c>
      <c r="G38" s="239"/>
      <c r="H38" s="239">
        <v>63577</v>
      </c>
      <c r="I38" s="290">
        <v>32728.05</v>
      </c>
      <c r="J38" s="188">
        <v>53929.18</v>
      </c>
      <c r="K38" s="290">
        <v>40855.599999999999</v>
      </c>
      <c r="L38" s="188">
        <v>48410.75</v>
      </c>
      <c r="M38" s="188">
        <v>54186</v>
      </c>
      <c r="N38" s="188">
        <v>40408</v>
      </c>
      <c r="O38" s="165">
        <v>36836</v>
      </c>
      <c r="P38" s="153">
        <v>33824</v>
      </c>
      <c r="Q38" s="127">
        <v>39430</v>
      </c>
    </row>
    <row r="39" spans="1:21" x14ac:dyDescent="0.25">
      <c r="A39" s="186" t="s">
        <v>135</v>
      </c>
      <c r="B39" s="5" t="s">
        <v>136</v>
      </c>
      <c r="C39" s="210"/>
      <c r="D39" s="279">
        <v>0</v>
      </c>
      <c r="E39" s="263">
        <v>0</v>
      </c>
      <c r="F39" s="255">
        <f>-(D39-E39)</f>
        <v>0</v>
      </c>
      <c r="G39" s="239"/>
      <c r="H39" s="239">
        <v>0</v>
      </c>
      <c r="I39" s="290">
        <v>9529</v>
      </c>
      <c r="J39" s="188">
        <v>0</v>
      </c>
      <c r="K39" s="290">
        <v>0</v>
      </c>
      <c r="L39" s="188"/>
      <c r="M39" s="188">
        <v>108000</v>
      </c>
      <c r="N39" s="188"/>
      <c r="O39" s="165"/>
      <c r="P39" s="153"/>
      <c r="Q39" s="127"/>
    </row>
    <row r="40" spans="1:21" x14ac:dyDescent="0.25">
      <c r="A40" s="186" t="str">
        <f>"3790"</f>
        <v>3790</v>
      </c>
      <c r="B40" s="5" t="s">
        <v>182</v>
      </c>
      <c r="C40" s="210"/>
      <c r="D40" s="279">
        <v>5000</v>
      </c>
      <c r="E40" s="263">
        <v>168000</v>
      </c>
      <c r="F40" s="255">
        <f t="shared" ref="F40:F42" si="1">-(D40-E40)</f>
        <v>163000</v>
      </c>
      <c r="G40" s="239"/>
      <c r="H40" s="239">
        <v>14600</v>
      </c>
      <c r="I40" s="290">
        <v>5000</v>
      </c>
      <c r="J40" s="188"/>
      <c r="K40" s="290"/>
      <c r="L40" s="188"/>
      <c r="M40" s="188"/>
      <c r="N40" s="188"/>
      <c r="O40" s="165"/>
      <c r="P40" s="153"/>
      <c r="Q40" s="127"/>
      <c r="U40" s="4"/>
    </row>
    <row r="41" spans="1:21" x14ac:dyDescent="0.25">
      <c r="A41" s="26"/>
      <c r="B41" s="6"/>
      <c r="C41" s="210"/>
      <c r="D41" s="279"/>
      <c r="E41" s="263"/>
      <c r="F41" s="255"/>
      <c r="G41" s="239"/>
      <c r="H41" s="239"/>
      <c r="I41" s="290"/>
      <c r="J41" s="188"/>
      <c r="K41" s="290"/>
      <c r="L41" s="188"/>
      <c r="M41" s="188"/>
      <c r="N41" s="188"/>
      <c r="O41" s="165"/>
      <c r="P41" s="153"/>
      <c r="Q41" s="127"/>
    </row>
    <row r="42" spans="1:21" s="1" customFormat="1" ht="15.75" thickBot="1" x14ac:dyDescent="0.3">
      <c r="A42" s="27" t="str">
        <f>"S:a Nettoomsättning"</f>
        <v>S:a Nettoomsättning</v>
      </c>
      <c r="B42" s="14"/>
      <c r="C42" s="209">
        <f>SUM(C8:C40)</f>
        <v>627600</v>
      </c>
      <c r="D42" s="281">
        <v>634000</v>
      </c>
      <c r="E42" s="265">
        <f>SUM(E8:E41)</f>
        <v>918371.27</v>
      </c>
      <c r="F42" s="292">
        <f t="shared" si="1"/>
        <v>284371.27</v>
      </c>
      <c r="G42" s="240"/>
      <c r="H42" s="240">
        <v>634863.34</v>
      </c>
      <c r="I42" s="292">
        <f>SUM(I8:I41)</f>
        <v>542786.05000000005</v>
      </c>
      <c r="J42" s="189">
        <v>520343.26999999996</v>
      </c>
      <c r="K42" s="292">
        <f>SUM(K8:K41)</f>
        <v>645019.6</v>
      </c>
      <c r="L42" s="189">
        <f>SUM(L8:L41)</f>
        <v>493735.75</v>
      </c>
      <c r="M42" s="189">
        <f>SUM(M8:M41)</f>
        <v>571737.75</v>
      </c>
      <c r="N42" s="189">
        <f>SUM(N8:N41)</f>
        <v>473728</v>
      </c>
      <c r="O42" s="167">
        <f>SUM(O8:O40)</f>
        <v>422129.33</v>
      </c>
      <c r="P42" s="154">
        <f>SUM(P8:P40)</f>
        <v>549106</v>
      </c>
      <c r="Q42" s="119">
        <f>SUM(Q8:Q40)</f>
        <v>411883.5</v>
      </c>
      <c r="U42" s="120"/>
    </row>
    <row r="43" spans="1:21" x14ac:dyDescent="0.25">
      <c r="A43" s="19"/>
      <c r="B43" s="20"/>
      <c r="C43" s="205"/>
      <c r="D43" s="282"/>
      <c r="E43" s="266"/>
      <c r="F43" s="241"/>
      <c r="G43" s="241"/>
      <c r="H43" s="241"/>
      <c r="I43" s="293"/>
      <c r="J43" s="190"/>
      <c r="K43" s="293"/>
      <c r="L43" s="190"/>
      <c r="M43" s="190"/>
      <c r="N43" s="190"/>
      <c r="O43" s="168"/>
      <c r="P43" s="155"/>
      <c r="Q43" s="128"/>
    </row>
    <row r="44" spans="1:21" x14ac:dyDescent="0.25">
      <c r="A44" s="22" t="str">
        <f>"Aktiverat arbete för egen räkning"</f>
        <v>Aktiverat arbete för egen räkning</v>
      </c>
      <c r="B44" s="6"/>
      <c r="C44" s="203"/>
      <c r="D44" s="278"/>
      <c r="E44" s="263"/>
      <c r="F44" s="239"/>
      <c r="G44" s="239"/>
      <c r="H44" s="239"/>
      <c r="I44" s="290"/>
      <c r="J44" s="188"/>
      <c r="K44" s="290"/>
      <c r="L44" s="188"/>
      <c r="M44" s="188"/>
      <c r="N44" s="188"/>
      <c r="O44" s="6"/>
      <c r="P44" s="153"/>
      <c r="Q44" s="129"/>
    </row>
    <row r="45" spans="1:21" x14ac:dyDescent="0.25">
      <c r="A45" s="186" t="str">
        <f>"3813"</f>
        <v>3813</v>
      </c>
      <c r="B45" s="5" t="s">
        <v>27</v>
      </c>
      <c r="C45" s="210">
        <v>0</v>
      </c>
      <c r="D45" s="279">
        <v>0</v>
      </c>
      <c r="E45" s="263">
        <v>0</v>
      </c>
      <c r="F45" s="239"/>
      <c r="G45" s="239"/>
      <c r="H45" s="239">
        <v>0</v>
      </c>
      <c r="I45" s="290">
        <v>0</v>
      </c>
      <c r="J45" s="188">
        <v>0</v>
      </c>
      <c r="K45" s="290">
        <v>0</v>
      </c>
      <c r="L45" s="188">
        <v>0</v>
      </c>
      <c r="M45" s="188">
        <v>5500</v>
      </c>
      <c r="N45" s="188">
        <v>2000</v>
      </c>
      <c r="O45" s="153">
        <v>1000</v>
      </c>
      <c r="P45" s="153">
        <v>3350</v>
      </c>
      <c r="Q45" s="127">
        <v>0</v>
      </c>
    </row>
    <row r="46" spans="1:21" x14ac:dyDescent="0.25">
      <c r="A46" s="187"/>
      <c r="B46" s="6"/>
      <c r="C46" s="210"/>
      <c r="D46" s="279"/>
      <c r="E46" s="263"/>
      <c r="F46" s="239"/>
      <c r="G46" s="239"/>
      <c r="H46" s="239"/>
      <c r="I46" s="290"/>
      <c r="J46" s="188"/>
      <c r="K46" s="290"/>
      <c r="L46" s="188"/>
      <c r="M46" s="188"/>
      <c r="N46" s="188"/>
      <c r="O46" s="6"/>
      <c r="P46" s="153"/>
      <c r="Q46" s="129"/>
    </row>
    <row r="47" spans="1:21" s="1" customFormat="1" ht="15.75" thickBot="1" x14ac:dyDescent="0.3">
      <c r="A47" s="27" t="str">
        <f>"S:a Aktiverat arbete för egen räkning"</f>
        <v>S:a Aktiverat arbete för egen räkning</v>
      </c>
      <c r="B47" s="14"/>
      <c r="C47" s="212">
        <v>0</v>
      </c>
      <c r="D47" s="283">
        <v>0</v>
      </c>
      <c r="E47" s="265">
        <f>SUM(E45:E46)</f>
        <v>0</v>
      </c>
      <c r="F47" s="240"/>
      <c r="G47" s="240"/>
      <c r="H47" s="240">
        <v>0</v>
      </c>
      <c r="I47" s="292">
        <f>SUM(I45:I46)</f>
        <v>0</v>
      </c>
      <c r="J47" s="189">
        <v>0</v>
      </c>
      <c r="K47" s="292">
        <f>SUM(K45:K46)</f>
        <v>0</v>
      </c>
      <c r="L47" s="189">
        <f>SUM(L45:L46)</f>
        <v>0</v>
      </c>
      <c r="M47" s="189">
        <f>SUM(M45:M46)</f>
        <v>5500</v>
      </c>
      <c r="N47" s="189">
        <f>SUM(N45:N46)</f>
        <v>2000</v>
      </c>
      <c r="O47" s="109">
        <f>SUM(O45:O45)</f>
        <v>1000</v>
      </c>
      <c r="P47" s="109">
        <f>SUM(P45:P45)</f>
        <v>3350</v>
      </c>
      <c r="Q47" s="119">
        <f>SUM(Q45:Q46)</f>
        <v>0</v>
      </c>
    </row>
    <row r="48" spans="1:21" x14ac:dyDescent="0.25">
      <c r="A48" s="19"/>
      <c r="B48" s="20"/>
      <c r="C48" s="205"/>
      <c r="D48" s="282"/>
      <c r="E48" s="266"/>
      <c r="F48" s="241"/>
      <c r="G48" s="241"/>
      <c r="H48" s="241"/>
      <c r="I48" s="293"/>
      <c r="J48" s="190"/>
      <c r="K48" s="293"/>
      <c r="L48" s="190"/>
      <c r="M48" s="190"/>
      <c r="N48" s="190"/>
      <c r="O48" s="168"/>
      <c r="P48" s="155"/>
      <c r="Q48" s="128"/>
    </row>
    <row r="49" spans="1:69" x14ac:dyDescent="0.25">
      <c r="A49" s="22" t="str">
        <f>"Övriga rörelseintäkter"</f>
        <v>Övriga rörelseintäkter</v>
      </c>
      <c r="B49" s="6"/>
      <c r="C49" s="203"/>
      <c r="D49" s="278"/>
      <c r="E49" s="263"/>
      <c r="F49" s="239"/>
      <c r="G49" s="239"/>
      <c r="H49" s="239"/>
      <c r="I49" s="290"/>
      <c r="J49" s="188"/>
      <c r="K49" s="290"/>
      <c r="L49" s="188"/>
      <c r="M49" s="188"/>
      <c r="N49" s="188"/>
      <c r="O49" s="6"/>
      <c r="P49" s="153"/>
      <c r="Q49" s="129"/>
    </row>
    <row r="50" spans="1:69" x14ac:dyDescent="0.25">
      <c r="A50" s="186" t="s">
        <v>137</v>
      </c>
      <c r="B50" s="6" t="s">
        <v>138</v>
      </c>
      <c r="C50" s="203"/>
      <c r="D50" s="278"/>
      <c r="E50" s="263">
        <v>0</v>
      </c>
      <c r="F50" s="239"/>
      <c r="G50" s="239"/>
      <c r="H50" s="239">
        <v>0</v>
      </c>
      <c r="I50" s="290">
        <v>0</v>
      </c>
      <c r="J50" s="188">
        <v>0</v>
      </c>
      <c r="K50" s="290">
        <v>0</v>
      </c>
      <c r="L50" s="188">
        <v>22000</v>
      </c>
      <c r="M50" s="188"/>
      <c r="N50" s="188"/>
      <c r="O50" s="6"/>
      <c r="P50" s="153"/>
      <c r="Q50" s="129"/>
    </row>
    <row r="51" spans="1:69" x14ac:dyDescent="0.25">
      <c r="A51" s="186" t="s">
        <v>183</v>
      </c>
      <c r="B51" s="6" t="s">
        <v>184</v>
      </c>
      <c r="C51" s="203"/>
      <c r="D51" s="278"/>
      <c r="E51" s="263"/>
      <c r="F51" s="239"/>
      <c r="G51" s="239"/>
      <c r="H51" s="239">
        <v>15000</v>
      </c>
      <c r="I51" s="290"/>
      <c r="J51" s="188"/>
      <c r="K51" s="290"/>
      <c r="L51" s="188"/>
      <c r="M51" s="188"/>
      <c r="N51" s="188"/>
      <c r="O51" s="6"/>
      <c r="P51" s="153"/>
      <c r="Q51" s="129"/>
    </row>
    <row r="52" spans="1:69" x14ac:dyDescent="0.25">
      <c r="A52" s="186" t="str">
        <f>"3990"</f>
        <v>3990</v>
      </c>
      <c r="B52" s="5" t="str">
        <f>"Övr ersättn och intäkter"</f>
        <v>Övr ersättn och intäkter</v>
      </c>
      <c r="C52" s="210">
        <v>0</v>
      </c>
      <c r="D52" s="279">
        <v>0</v>
      </c>
      <c r="E52" s="263">
        <v>0</v>
      </c>
      <c r="F52" s="239"/>
      <c r="G52" s="239"/>
      <c r="H52" s="239">
        <v>0</v>
      </c>
      <c r="I52" s="290">
        <v>0</v>
      </c>
      <c r="J52" s="188">
        <v>0</v>
      </c>
      <c r="K52" s="290">
        <v>57992</v>
      </c>
      <c r="L52" s="188">
        <v>9363</v>
      </c>
      <c r="M52" s="188"/>
      <c r="N52" s="188"/>
      <c r="O52" s="169">
        <v>11103</v>
      </c>
      <c r="P52" s="153"/>
      <c r="Q52" s="127"/>
    </row>
    <row r="53" spans="1:69" x14ac:dyDescent="0.25">
      <c r="A53" s="186" t="str">
        <f>"3992"</f>
        <v>3992</v>
      </c>
      <c r="B53" s="5" t="s">
        <v>28</v>
      </c>
      <c r="C53" s="210"/>
      <c r="D53" s="279"/>
      <c r="E53" s="263"/>
      <c r="F53" s="239"/>
      <c r="G53" s="239"/>
      <c r="H53" s="239"/>
      <c r="I53" s="290"/>
      <c r="J53" s="188"/>
      <c r="K53" s="290"/>
      <c r="L53" s="188"/>
      <c r="M53" s="188"/>
      <c r="N53" s="188"/>
      <c r="O53" s="169"/>
      <c r="P53" s="153"/>
      <c r="Q53" s="127"/>
    </row>
    <row r="54" spans="1:69" x14ac:dyDescent="0.25">
      <c r="A54" s="187">
        <v>3680</v>
      </c>
      <c r="B54" s="6" t="s">
        <v>29</v>
      </c>
      <c r="C54" s="210"/>
      <c r="D54" s="279"/>
      <c r="E54" s="263"/>
      <c r="F54" s="239"/>
      <c r="G54" s="239"/>
      <c r="H54" s="239"/>
      <c r="I54" s="290"/>
      <c r="J54" s="188"/>
      <c r="K54" s="290"/>
      <c r="L54" s="188"/>
      <c r="M54" s="188"/>
      <c r="N54" s="188"/>
      <c r="O54" s="169"/>
      <c r="P54" s="153"/>
      <c r="Q54" s="129"/>
    </row>
    <row r="55" spans="1:69" s="1" customFormat="1" ht="15.75" thickBot="1" x14ac:dyDescent="0.3">
      <c r="A55" s="27" t="str">
        <f>"S:a Övriga rörelseintäkter"</f>
        <v>S:a Övriga rörelseintäkter</v>
      </c>
      <c r="B55" s="14"/>
      <c r="C55" s="212">
        <v>0</v>
      </c>
      <c r="D55" s="283">
        <v>0</v>
      </c>
      <c r="E55" s="267">
        <f>SUM(E50:E54)</f>
        <v>0</v>
      </c>
      <c r="F55" s="240"/>
      <c r="G55" s="240"/>
      <c r="H55" s="240">
        <v>15000</v>
      </c>
      <c r="I55" s="170">
        <f>SUM(I50:I54)</f>
        <v>0</v>
      </c>
      <c r="J55" s="189">
        <v>0</v>
      </c>
      <c r="K55" s="170">
        <f>SUM(K50:K54)</f>
        <v>57992</v>
      </c>
      <c r="L55" s="170">
        <f>SUM(L50:L54)</f>
        <v>31363</v>
      </c>
      <c r="M55" s="170">
        <f>SUM(M52:M54)</f>
        <v>0</v>
      </c>
      <c r="N55" s="170">
        <f>SUM(N52:N54)</f>
        <v>0</v>
      </c>
      <c r="O55" s="170">
        <f>SUM(O52:O54)</f>
        <v>11103</v>
      </c>
      <c r="P55" s="109">
        <f>SUM(P52:P54)</f>
        <v>0</v>
      </c>
      <c r="Q55" s="119">
        <f>SUM(Q52:Q54)</f>
        <v>0</v>
      </c>
    </row>
    <row r="56" spans="1:69" x14ac:dyDescent="0.25">
      <c r="A56" s="19"/>
      <c r="B56" s="20"/>
      <c r="C56" s="205"/>
      <c r="D56" s="282"/>
      <c r="E56" s="266"/>
      <c r="F56" s="241"/>
      <c r="G56" s="241"/>
      <c r="H56" s="241"/>
      <c r="I56" s="293"/>
      <c r="J56" s="190"/>
      <c r="K56" s="293"/>
      <c r="L56" s="190"/>
      <c r="M56" s="190"/>
      <c r="N56" s="190"/>
      <c r="O56" s="168"/>
      <c r="P56" s="155"/>
      <c r="Q56" s="128"/>
    </row>
    <row r="57" spans="1:69" x14ac:dyDescent="0.25">
      <c r="A57" s="26"/>
      <c r="B57" s="6"/>
      <c r="C57" s="203"/>
      <c r="D57" s="278"/>
      <c r="E57" s="263"/>
      <c r="F57" s="239"/>
      <c r="G57" s="239"/>
      <c r="H57" s="239"/>
      <c r="I57" s="290"/>
      <c r="J57" s="188"/>
      <c r="K57" s="290"/>
      <c r="L57" s="188"/>
      <c r="M57" s="188"/>
      <c r="N57" s="188"/>
      <c r="O57" s="6"/>
      <c r="P57" s="153"/>
      <c r="Q57" s="129"/>
    </row>
    <row r="58" spans="1:69" s="2" customFormat="1" ht="15.75" thickBot="1" x14ac:dyDescent="0.3">
      <c r="A58" s="32" t="str">
        <f>"S:a Rörelseintäkter och lagerförändring"</f>
        <v>S:a Rörelseintäkter och lagerförändring</v>
      </c>
      <c r="B58" s="33"/>
      <c r="C58" s="147">
        <f>SUM(C42+C47+C55)</f>
        <v>627600</v>
      </c>
      <c r="D58" s="147">
        <v>634000</v>
      </c>
      <c r="E58" s="147">
        <f>E42+E47+E55</f>
        <v>918371.27</v>
      </c>
      <c r="F58" s="242">
        <f>E58-D58</f>
        <v>284371.27</v>
      </c>
      <c r="G58" s="242"/>
      <c r="H58" s="242">
        <v>649863.34</v>
      </c>
      <c r="I58" s="163">
        <f>I42+I47+I55</f>
        <v>542786.05000000005</v>
      </c>
      <c r="J58" s="163">
        <v>520343.26999999996</v>
      </c>
      <c r="K58" s="163">
        <f>K42+K47+K55</f>
        <v>703011.6</v>
      </c>
      <c r="L58" s="163">
        <f t="shared" ref="L58:Q58" si="2">L42+L47+L55</f>
        <v>525098.75</v>
      </c>
      <c r="M58" s="163">
        <f t="shared" si="2"/>
        <v>577237.75</v>
      </c>
      <c r="N58" s="163">
        <f t="shared" si="2"/>
        <v>475728</v>
      </c>
      <c r="O58" s="147">
        <f t="shared" si="2"/>
        <v>434232.33</v>
      </c>
      <c r="P58" s="112">
        <f t="shared" si="2"/>
        <v>552456</v>
      </c>
      <c r="Q58" s="111">
        <f t="shared" si="2"/>
        <v>411883.5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 x14ac:dyDescent="0.25">
      <c r="A59" s="19"/>
      <c r="B59" s="20"/>
      <c r="C59" s="205"/>
      <c r="D59" s="282"/>
      <c r="E59" s="266"/>
      <c r="F59" s="241"/>
      <c r="G59" s="241"/>
      <c r="H59" s="241"/>
      <c r="I59" s="293"/>
      <c r="J59" s="190"/>
      <c r="K59" s="293"/>
      <c r="L59" s="190"/>
      <c r="M59" s="190"/>
      <c r="N59" s="190"/>
      <c r="O59" s="168"/>
      <c r="P59" s="155"/>
      <c r="Q59" s="128"/>
    </row>
    <row r="60" spans="1:69" x14ac:dyDescent="0.25">
      <c r="A60" s="22" t="str">
        <f>"Rörelsens kostnader"</f>
        <v>Rörelsens kostnader</v>
      </c>
      <c r="B60" s="6"/>
      <c r="C60" s="203"/>
      <c r="D60" s="278"/>
      <c r="E60" s="263"/>
      <c r="F60" s="239"/>
      <c r="G60" s="239"/>
      <c r="H60" s="239"/>
      <c r="I60" s="290"/>
      <c r="J60" s="188"/>
      <c r="K60" s="290"/>
      <c r="L60" s="188"/>
      <c r="M60" s="188"/>
      <c r="N60" s="188"/>
      <c r="O60" s="6"/>
      <c r="P60" s="153"/>
      <c r="Q60" s="129"/>
    </row>
    <row r="61" spans="1:69" x14ac:dyDescent="0.25">
      <c r="A61" s="22" t="str">
        <f>"Råvaror och förnödenheter mm"</f>
        <v>Råvaror och förnödenheter mm</v>
      </c>
      <c r="B61" s="6"/>
      <c r="C61" s="203"/>
      <c r="D61" s="278"/>
      <c r="E61" s="263"/>
      <c r="F61" s="239"/>
      <c r="G61" s="239"/>
      <c r="H61" s="239"/>
      <c r="I61" s="290"/>
      <c r="J61" s="188"/>
      <c r="K61" s="290"/>
      <c r="L61" s="188"/>
      <c r="M61" s="188"/>
      <c r="N61" s="188"/>
      <c r="O61" s="6"/>
      <c r="P61" s="153"/>
      <c r="Q61" s="129"/>
    </row>
    <row r="62" spans="1:69" x14ac:dyDescent="0.25">
      <c r="A62" s="24" t="s">
        <v>139</v>
      </c>
      <c r="B62" s="5" t="s">
        <v>140</v>
      </c>
      <c r="C62" s="210">
        <v>0</v>
      </c>
      <c r="D62" s="279">
        <v>0</v>
      </c>
      <c r="E62" s="263"/>
      <c r="F62" s="239">
        <f t="shared" ref="F62:F71" si="3">-(D62-E62)</f>
        <v>0</v>
      </c>
      <c r="G62" s="239"/>
      <c r="H62" s="239"/>
      <c r="I62" s="290"/>
      <c r="J62" s="188">
        <v>0</v>
      </c>
      <c r="K62" s="290">
        <v>0</v>
      </c>
      <c r="L62" s="188">
        <v>-902.8</v>
      </c>
      <c r="M62" s="188"/>
      <c r="N62" s="188"/>
      <c r="O62" s="171"/>
      <c r="P62" s="153"/>
      <c r="Q62" s="127"/>
    </row>
    <row r="63" spans="1:69" x14ac:dyDescent="0.25">
      <c r="A63" s="24" t="str">
        <f>"4011"</f>
        <v>4011</v>
      </c>
      <c r="B63" s="5" t="str">
        <f>"Anmälningsavgifter"</f>
        <v>Anmälningsavgifter</v>
      </c>
      <c r="C63" s="210">
        <v>-120000</v>
      </c>
      <c r="D63" s="279">
        <v>-70000</v>
      </c>
      <c r="E63" s="263">
        <v>-107766.41</v>
      </c>
      <c r="F63" s="239">
        <f t="shared" si="3"/>
        <v>-37766.410000000003</v>
      </c>
      <c r="G63" s="239"/>
      <c r="H63" s="239">
        <v>-75575.460000000006</v>
      </c>
      <c r="I63" s="290">
        <v>-55430</v>
      </c>
      <c r="J63" s="188">
        <v>-21495</v>
      </c>
      <c r="K63" s="290">
        <v>-58541</v>
      </c>
      <c r="L63" s="188">
        <v>-47558</v>
      </c>
      <c r="M63" s="188">
        <v>-36647</v>
      </c>
      <c r="N63" s="188">
        <v>-32651</v>
      </c>
      <c r="O63" s="171">
        <v>-22460</v>
      </c>
      <c r="P63" s="153">
        <v>-38723</v>
      </c>
      <c r="Q63" s="127">
        <v>-44933</v>
      </c>
    </row>
    <row r="64" spans="1:69" x14ac:dyDescent="0.25">
      <c r="A64" s="24" t="str">
        <f>"4012"</f>
        <v>4012</v>
      </c>
      <c r="B64" s="5" t="str">
        <f>"transportkostnader"</f>
        <v>transportkostnader</v>
      </c>
      <c r="C64" s="210">
        <v>-7000</v>
      </c>
      <c r="D64" s="279">
        <v>-10000</v>
      </c>
      <c r="E64" s="263">
        <v>-5802</v>
      </c>
      <c r="F64" s="255">
        <f t="shared" si="3"/>
        <v>4198</v>
      </c>
      <c r="G64" s="239"/>
      <c r="H64" s="239">
        <v>-10084.43</v>
      </c>
      <c r="I64" s="290"/>
      <c r="J64" s="188">
        <v>-2978</v>
      </c>
      <c r="K64" s="290">
        <v>-2860.91</v>
      </c>
      <c r="L64" s="188">
        <v>-5802</v>
      </c>
      <c r="M64" s="188"/>
      <c r="N64" s="188">
        <v>-4867</v>
      </c>
      <c r="O64" s="171">
        <v>-3587.5</v>
      </c>
      <c r="P64" s="153">
        <v>-3897.5</v>
      </c>
      <c r="Q64" s="127">
        <v>-10378</v>
      </c>
    </row>
    <row r="65" spans="1:17" x14ac:dyDescent="0.25">
      <c r="A65" s="24" t="str">
        <f>"4013"</f>
        <v>4013</v>
      </c>
      <c r="B65" s="5" t="str">
        <f>"Kost och logi under tävlingar"</f>
        <v>Kost och logi under tävlingar</v>
      </c>
      <c r="C65" s="210">
        <v>-45000</v>
      </c>
      <c r="D65" s="279">
        <v>-40000</v>
      </c>
      <c r="E65" s="263">
        <v>-55645</v>
      </c>
      <c r="F65" s="239">
        <f t="shared" si="3"/>
        <v>-15645</v>
      </c>
      <c r="G65" s="239"/>
      <c r="H65" s="239">
        <v>-44520</v>
      </c>
      <c r="I65" s="290">
        <v>-37100</v>
      </c>
      <c r="J65" s="188">
        <v>-7400</v>
      </c>
      <c r="K65" s="290">
        <v>-39765.21</v>
      </c>
      <c r="L65" s="188">
        <v>-48567.06</v>
      </c>
      <c r="M65" s="188">
        <v>-14830</v>
      </c>
      <c r="N65" s="188">
        <v>-11800</v>
      </c>
      <c r="O65" s="171">
        <v>-5360</v>
      </c>
      <c r="P65" s="153">
        <v>-12490</v>
      </c>
      <c r="Q65" s="127">
        <v>-3540</v>
      </c>
    </row>
    <row r="66" spans="1:17" x14ac:dyDescent="0.25">
      <c r="A66" s="24" t="str">
        <f>"4014"</f>
        <v>4014</v>
      </c>
      <c r="B66" s="5" t="str">
        <f>"Övriga tävlingskostnader"</f>
        <v>Övriga tävlingskostnader</v>
      </c>
      <c r="C66" s="210"/>
      <c r="D66" s="279">
        <v>-2000</v>
      </c>
      <c r="E66" s="263">
        <v>0</v>
      </c>
      <c r="F66" s="239">
        <f t="shared" si="3"/>
        <v>2000</v>
      </c>
      <c r="G66" s="239"/>
      <c r="H66" s="239">
        <v>-2815.56</v>
      </c>
      <c r="I66" s="290">
        <v>-700</v>
      </c>
      <c r="J66" s="188">
        <v>-649</v>
      </c>
      <c r="K66" s="290"/>
      <c r="L66" s="188"/>
      <c r="M66" s="188"/>
      <c r="N66" s="188">
        <v>-3114</v>
      </c>
      <c r="O66" s="171"/>
      <c r="P66" s="153"/>
      <c r="Q66" s="127"/>
    </row>
    <row r="67" spans="1:17" x14ac:dyDescent="0.25">
      <c r="A67" s="24" t="str">
        <f>"4020"</f>
        <v>4020</v>
      </c>
      <c r="B67" s="5" t="s">
        <v>175</v>
      </c>
      <c r="C67" s="210">
        <v>-10000</v>
      </c>
      <c r="D67" s="279">
        <v>-6000</v>
      </c>
      <c r="E67" s="263">
        <v>-2259</v>
      </c>
      <c r="F67" s="255">
        <f t="shared" si="3"/>
        <v>3741</v>
      </c>
      <c r="G67" s="239"/>
      <c r="H67" s="239">
        <v>-6068</v>
      </c>
      <c r="I67" s="290"/>
      <c r="J67" s="188">
        <v>0</v>
      </c>
      <c r="K67" s="290">
        <v>-19782.400000000001</v>
      </c>
      <c r="L67" s="188">
        <v>-1010</v>
      </c>
      <c r="M67" s="188">
        <v>-8635</v>
      </c>
      <c r="N67" s="188">
        <v>-8784</v>
      </c>
      <c r="O67" s="171">
        <v>-2060</v>
      </c>
      <c r="P67" s="153">
        <v>-1526</v>
      </c>
      <c r="Q67" s="127">
        <v>-4627</v>
      </c>
    </row>
    <row r="68" spans="1:17" x14ac:dyDescent="0.25">
      <c r="A68" s="24" t="str">
        <f>"4021"</f>
        <v>4021</v>
      </c>
      <c r="B68" s="5" t="str">
        <f>"Anmälningsavgifter, Läger"</f>
        <v>Anmälningsavgifter, Läger</v>
      </c>
      <c r="C68" s="210"/>
      <c r="D68" s="279">
        <v>-10000</v>
      </c>
      <c r="E68" s="263">
        <v>-45000</v>
      </c>
      <c r="F68" s="239">
        <f t="shared" si="3"/>
        <v>-35000</v>
      </c>
      <c r="G68" s="239"/>
      <c r="H68" s="239">
        <v>-77188</v>
      </c>
      <c r="I68" s="290">
        <v>-12800</v>
      </c>
      <c r="J68" s="188"/>
      <c r="K68" s="290"/>
      <c r="L68" s="188"/>
      <c r="M68" s="188"/>
      <c r="N68" s="188"/>
      <c r="O68" s="171"/>
      <c r="P68" s="153"/>
      <c r="Q68" s="127"/>
    </row>
    <row r="69" spans="1:17" x14ac:dyDescent="0.25">
      <c r="A69" s="24" t="str">
        <f>"4022"</f>
        <v>4022</v>
      </c>
      <c r="B69" s="5" t="str">
        <f>"Transportkostnader, Läger"</f>
        <v>Transportkostnader, Läger</v>
      </c>
      <c r="C69" s="210"/>
      <c r="D69" s="279">
        <v>0</v>
      </c>
      <c r="E69" s="263"/>
      <c r="F69" s="239">
        <f t="shared" si="3"/>
        <v>0</v>
      </c>
      <c r="G69" s="239"/>
      <c r="H69" s="239"/>
      <c r="I69" s="290"/>
      <c r="J69" s="188"/>
      <c r="K69" s="290"/>
      <c r="L69" s="188"/>
      <c r="M69" s="188"/>
      <c r="N69" s="188"/>
      <c r="O69" s="171"/>
      <c r="P69" s="153"/>
      <c r="Q69" s="127"/>
    </row>
    <row r="70" spans="1:17" x14ac:dyDescent="0.25">
      <c r="A70" s="24" t="s">
        <v>30</v>
      </c>
      <c r="B70" s="5" t="s">
        <v>125</v>
      </c>
      <c r="C70" s="210"/>
      <c r="D70" s="279">
        <v>0</v>
      </c>
      <c r="E70" s="263"/>
      <c r="F70" s="239">
        <f t="shared" si="3"/>
        <v>0</v>
      </c>
      <c r="G70" s="239"/>
      <c r="H70" s="239"/>
      <c r="I70" s="290"/>
      <c r="J70" s="188">
        <v>0</v>
      </c>
      <c r="K70" s="290">
        <v>0</v>
      </c>
      <c r="L70" s="188">
        <v>-35531</v>
      </c>
      <c r="M70" s="188">
        <v>-40685</v>
      </c>
      <c r="N70" s="188"/>
      <c r="O70" s="171">
        <v>-1700</v>
      </c>
      <c r="P70" s="153"/>
      <c r="Q70" s="127"/>
    </row>
    <row r="71" spans="1:17" x14ac:dyDescent="0.25">
      <c r="A71" s="24" t="str">
        <f>"4024"</f>
        <v>4024</v>
      </c>
      <c r="B71" s="5" t="str">
        <f>"SM läger"</f>
        <v>SM läger</v>
      </c>
      <c r="C71" s="210">
        <v>-90000</v>
      </c>
      <c r="D71" s="279">
        <v>-60000</v>
      </c>
      <c r="E71" s="263">
        <v>-68700</v>
      </c>
      <c r="F71" s="239">
        <f t="shared" si="3"/>
        <v>-8700</v>
      </c>
      <c r="G71" s="239"/>
      <c r="H71" s="239">
        <v>-54000</v>
      </c>
      <c r="I71" s="290"/>
      <c r="J71" s="188">
        <v>0</v>
      </c>
      <c r="K71" s="290">
        <v>-72670.100000000006</v>
      </c>
      <c r="L71" s="188">
        <v>-45362.8</v>
      </c>
      <c r="M71" s="188">
        <v>-57295</v>
      </c>
      <c r="N71" s="188">
        <v>-43666</v>
      </c>
      <c r="O71" s="171">
        <v>-33695</v>
      </c>
      <c r="P71" s="153">
        <v>-16960</v>
      </c>
      <c r="Q71" s="127">
        <v>-22174</v>
      </c>
    </row>
    <row r="72" spans="1:17" x14ac:dyDescent="0.25">
      <c r="A72" s="24" t="s">
        <v>153</v>
      </c>
      <c r="B72" s="5" t="s">
        <v>154</v>
      </c>
      <c r="C72" s="210"/>
      <c r="D72" s="279">
        <v>-10000</v>
      </c>
      <c r="E72" s="263">
        <v>0</v>
      </c>
      <c r="F72" s="239"/>
      <c r="G72" s="239"/>
      <c r="H72" s="239">
        <v>-10014.530000000001</v>
      </c>
      <c r="I72" s="290">
        <v>-6991.85</v>
      </c>
      <c r="J72" s="188">
        <v>-2490</v>
      </c>
      <c r="K72" s="290">
        <v>-9939.5300000000007</v>
      </c>
      <c r="L72" s="188"/>
      <c r="M72" s="188"/>
      <c r="N72" s="188"/>
      <c r="O72" s="171"/>
      <c r="P72" s="153"/>
      <c r="Q72" s="127"/>
    </row>
    <row r="73" spans="1:17" ht="15" customHeight="1" x14ac:dyDescent="0.25">
      <c r="A73" s="24" t="s">
        <v>32</v>
      </c>
      <c r="B73" s="5" t="s">
        <v>164</v>
      </c>
      <c r="C73" s="210">
        <v>-45000</v>
      </c>
      <c r="D73" s="279">
        <v>-80000</v>
      </c>
      <c r="E73" s="263">
        <v>-35600</v>
      </c>
      <c r="F73" s="239">
        <f t="shared" ref="F73:F87" si="4">-(D73-E73)</f>
        <v>44400</v>
      </c>
      <c r="G73" s="239"/>
      <c r="H73" s="239">
        <v>-48800</v>
      </c>
      <c r="I73" s="290">
        <v>-37785</v>
      </c>
      <c r="J73" s="188">
        <v>-23624</v>
      </c>
      <c r="K73" s="290">
        <v>-169881.18</v>
      </c>
      <c r="L73" s="188">
        <v>-66249.5</v>
      </c>
      <c r="M73" s="188">
        <v>-37771</v>
      </c>
      <c r="N73" s="188">
        <v>-35043</v>
      </c>
      <c r="O73" s="171">
        <v>-51908</v>
      </c>
      <c r="P73" s="153">
        <v>-68237</v>
      </c>
      <c r="Q73" s="127">
        <v>-44493</v>
      </c>
    </row>
    <row r="74" spans="1:17" ht="15" customHeight="1" x14ac:dyDescent="0.25">
      <c r="A74" s="24" t="s">
        <v>165</v>
      </c>
      <c r="B74" s="5" t="s">
        <v>166</v>
      </c>
      <c r="C74" s="210">
        <v>-25000</v>
      </c>
      <c r="D74" s="279">
        <v>-20000</v>
      </c>
      <c r="E74" s="263">
        <v>-24000</v>
      </c>
      <c r="F74" s="239">
        <f t="shared" si="4"/>
        <v>-4000</v>
      </c>
      <c r="G74" s="239"/>
      <c r="H74" s="239">
        <v>-6500</v>
      </c>
      <c r="I74" s="290"/>
      <c r="J74" s="188">
        <v>-25399</v>
      </c>
      <c r="K74" s="290"/>
      <c r="L74" s="188"/>
      <c r="M74" s="188"/>
      <c r="N74" s="188"/>
      <c r="O74" s="171"/>
      <c r="P74" s="153"/>
      <c r="Q74" s="127"/>
    </row>
    <row r="75" spans="1:17" x14ac:dyDescent="0.25">
      <c r="A75" s="24" t="str">
        <f>"4110"</f>
        <v>4110</v>
      </c>
      <c r="B75" s="5" t="str">
        <f>"Kostnader Kanotskolan"</f>
        <v>Kostnader Kanotskolan</v>
      </c>
      <c r="C75" s="210">
        <v>-10000</v>
      </c>
      <c r="D75" s="279">
        <v>-10000</v>
      </c>
      <c r="E75" s="263">
        <v>-5200.8500000000004</v>
      </c>
      <c r="F75" s="255">
        <f t="shared" si="4"/>
        <v>4799.1499999999996</v>
      </c>
      <c r="G75" s="239"/>
      <c r="H75" s="239">
        <v>-10138</v>
      </c>
      <c r="I75" s="290">
        <v>-13495.75</v>
      </c>
      <c r="J75" s="188">
        <v>-8149.49</v>
      </c>
      <c r="K75" s="290">
        <v>-9331.7900000000009</v>
      </c>
      <c r="L75" s="188">
        <v>-11894</v>
      </c>
      <c r="M75" s="188">
        <v>-20019</v>
      </c>
      <c r="N75" s="188">
        <v>-12819.4</v>
      </c>
      <c r="O75" s="171">
        <v>-14874</v>
      </c>
      <c r="P75" s="153">
        <v>-18212</v>
      </c>
      <c r="Q75" s="127">
        <v>-8052</v>
      </c>
    </row>
    <row r="76" spans="1:17" x14ac:dyDescent="0.25">
      <c r="A76" s="24" t="s">
        <v>34</v>
      </c>
      <c r="B76" s="5" t="s">
        <v>141</v>
      </c>
      <c r="C76" s="210">
        <v>-10000</v>
      </c>
      <c r="D76" s="279">
        <v>-5000</v>
      </c>
      <c r="E76" s="263">
        <v>-1800</v>
      </c>
      <c r="F76" s="255">
        <f t="shared" si="4"/>
        <v>3200</v>
      </c>
      <c r="G76" s="239"/>
      <c r="H76" s="239">
        <v>-11850</v>
      </c>
      <c r="I76" s="290">
        <v>-3810</v>
      </c>
      <c r="J76" s="188">
        <v>0</v>
      </c>
      <c r="K76" s="290">
        <v>0</v>
      </c>
      <c r="L76" s="188">
        <v>0</v>
      </c>
      <c r="M76" s="188">
        <v>-2800</v>
      </c>
      <c r="N76" s="188">
        <v>-3200</v>
      </c>
      <c r="O76" s="171">
        <v>-4100</v>
      </c>
      <c r="P76" s="153">
        <v>-10300</v>
      </c>
      <c r="Q76" s="127">
        <v>-3600</v>
      </c>
    </row>
    <row r="77" spans="1:17" x14ac:dyDescent="0.25">
      <c r="A77" s="24" t="str">
        <f>"4120"</f>
        <v>4120</v>
      </c>
      <c r="B77" s="5" t="str">
        <f>"Kostnad ungdomsverksamhet"</f>
        <v>Kostnad ungdomsverksamhet</v>
      </c>
      <c r="C77" s="210">
        <v>-10000</v>
      </c>
      <c r="D77" s="279">
        <v>-10000</v>
      </c>
      <c r="E77" s="263">
        <v>-6942.83</v>
      </c>
      <c r="F77" s="255">
        <f t="shared" si="4"/>
        <v>3057.17</v>
      </c>
      <c r="G77" s="239"/>
      <c r="H77" s="239">
        <v>-8656</v>
      </c>
      <c r="I77" s="290">
        <v>-17921.63</v>
      </c>
      <c r="J77" s="188">
        <v>-20147.099999999999</v>
      </c>
      <c r="K77" s="290">
        <v>-26262.38</v>
      </c>
      <c r="L77" s="188">
        <v>-14082</v>
      </c>
      <c r="M77" s="188">
        <v>-32802</v>
      </c>
      <c r="N77" s="188">
        <v>-20082.7</v>
      </c>
      <c r="O77" s="171">
        <v>-15443</v>
      </c>
      <c r="P77" s="153">
        <v>-10865</v>
      </c>
      <c r="Q77" s="127">
        <v>-6599</v>
      </c>
    </row>
    <row r="78" spans="1:17" x14ac:dyDescent="0.25">
      <c r="A78" s="24" t="s">
        <v>142</v>
      </c>
      <c r="B78" s="5" t="s">
        <v>37</v>
      </c>
      <c r="C78" s="210">
        <v>-5000</v>
      </c>
      <c r="D78" s="279">
        <v>-5000</v>
      </c>
      <c r="E78" s="263">
        <v>0</v>
      </c>
      <c r="F78" s="239">
        <f t="shared" si="4"/>
        <v>5000</v>
      </c>
      <c r="G78" s="239"/>
      <c r="H78" s="239">
        <v>0</v>
      </c>
      <c r="I78" s="290"/>
      <c r="J78" s="188">
        <v>-10650</v>
      </c>
      <c r="K78" s="290">
        <v>0</v>
      </c>
      <c r="L78" s="188">
        <v>-14500</v>
      </c>
      <c r="M78" s="188">
        <v>-18859</v>
      </c>
      <c r="N78" s="188">
        <v>-10144</v>
      </c>
      <c r="O78" s="171"/>
      <c r="P78" s="153"/>
      <c r="Q78" s="127"/>
    </row>
    <row r="79" spans="1:17" x14ac:dyDescent="0.25">
      <c r="A79" s="24" t="s">
        <v>143</v>
      </c>
      <c r="B79" s="5" t="s">
        <v>144</v>
      </c>
      <c r="C79" s="210"/>
      <c r="D79" s="279">
        <v>0</v>
      </c>
      <c r="F79" s="239">
        <f t="shared" si="4"/>
        <v>0</v>
      </c>
      <c r="G79" s="239"/>
      <c r="H79" s="305"/>
      <c r="J79" s="188">
        <v>0</v>
      </c>
      <c r="K79" s="290">
        <v>-34934.9</v>
      </c>
      <c r="L79" s="188">
        <v>-8635</v>
      </c>
      <c r="M79" s="188"/>
      <c r="N79" s="188"/>
      <c r="O79" s="171"/>
      <c r="P79" s="153"/>
      <c r="Q79" s="127"/>
    </row>
    <row r="80" spans="1:17" x14ac:dyDescent="0.25">
      <c r="A80" s="24" t="s">
        <v>167</v>
      </c>
      <c r="B80" s="5" t="s">
        <v>168</v>
      </c>
      <c r="C80" s="210">
        <v>-10000</v>
      </c>
      <c r="D80" s="279">
        <v>-40000</v>
      </c>
      <c r="E80" s="263">
        <v>-10175.75</v>
      </c>
      <c r="F80" s="239">
        <f t="shared" si="4"/>
        <v>29824.25</v>
      </c>
      <c r="G80" s="239"/>
      <c r="H80" s="239">
        <v>-34451</v>
      </c>
      <c r="I80" s="290">
        <v>-71464.100000000006</v>
      </c>
      <c r="J80" s="188">
        <v>-9650</v>
      </c>
      <c r="K80" s="290"/>
      <c r="L80" s="188"/>
      <c r="M80" s="188"/>
      <c r="N80" s="188"/>
      <c r="O80" s="171"/>
      <c r="P80" s="153"/>
      <c r="Q80" s="127"/>
    </row>
    <row r="81" spans="1:22" x14ac:dyDescent="0.25">
      <c r="A81" s="24" t="s">
        <v>145</v>
      </c>
      <c r="B81" s="5" t="s">
        <v>192</v>
      </c>
      <c r="C81" s="210">
        <v>-13000</v>
      </c>
      <c r="D81" s="279">
        <v>-5000</v>
      </c>
      <c r="E81" s="263">
        <v>-1500</v>
      </c>
      <c r="F81" s="239">
        <f t="shared" si="4"/>
        <v>3500</v>
      </c>
      <c r="G81" s="239"/>
      <c r="H81" s="239">
        <v>-1750</v>
      </c>
      <c r="I81" s="290"/>
      <c r="J81" s="188">
        <v>-18000</v>
      </c>
      <c r="K81" s="290">
        <v>-14495</v>
      </c>
      <c r="L81" s="188">
        <v>-14495</v>
      </c>
      <c r="M81" s="188"/>
      <c r="N81" s="188"/>
      <c r="O81" s="171"/>
      <c r="P81" s="153"/>
      <c r="Q81" s="127"/>
    </row>
    <row r="82" spans="1:22" x14ac:dyDescent="0.25">
      <c r="A82" s="24" t="str">
        <f>"4220"</f>
        <v>4220</v>
      </c>
      <c r="B82" s="5" t="s">
        <v>38</v>
      </c>
      <c r="C82" s="210">
        <v>-40000</v>
      </c>
      <c r="D82" s="279">
        <v>-45000</v>
      </c>
      <c r="E82" s="263">
        <v>-343641.5</v>
      </c>
      <c r="F82" s="255">
        <f t="shared" si="4"/>
        <v>-298641.5</v>
      </c>
      <c r="G82" s="239"/>
      <c r="H82" s="239">
        <v>-129000</v>
      </c>
      <c r="I82" s="290">
        <v>-34105</v>
      </c>
      <c r="J82" s="188">
        <v>-43663</v>
      </c>
      <c r="K82" s="290">
        <v>-52093</v>
      </c>
      <c r="L82" s="188">
        <v>-114563</v>
      </c>
      <c r="M82" s="188">
        <v>-25146</v>
      </c>
      <c r="N82" s="188">
        <v>-155862.54999999999</v>
      </c>
      <c r="O82" s="171">
        <v>-117887.33</v>
      </c>
      <c r="P82" s="153">
        <v>-72611.98</v>
      </c>
      <c r="Q82" s="127">
        <v>-83127</v>
      </c>
      <c r="R82" s="161"/>
      <c r="S82" s="162"/>
      <c r="T82" s="162"/>
      <c r="U82" s="162"/>
      <c r="V82" s="4"/>
    </row>
    <row r="83" spans="1:22" x14ac:dyDescent="0.25">
      <c r="A83" s="24" t="s">
        <v>39</v>
      </c>
      <c r="B83" s="5" t="s">
        <v>40</v>
      </c>
      <c r="C83" s="210"/>
      <c r="D83" s="279"/>
      <c r="E83" s="263"/>
      <c r="F83" s="239">
        <f t="shared" si="4"/>
        <v>0</v>
      </c>
      <c r="G83" s="239"/>
      <c r="H83" s="239"/>
      <c r="I83" s="290"/>
      <c r="J83" s="188"/>
      <c r="K83" s="290"/>
      <c r="L83" s="188"/>
      <c r="M83" s="188">
        <v>-7600</v>
      </c>
      <c r="N83" s="188"/>
      <c r="O83" s="171">
        <v>-2000</v>
      </c>
      <c r="P83" s="153">
        <v>-16508</v>
      </c>
      <c r="Q83" s="127">
        <v>-21032</v>
      </c>
    </row>
    <row r="84" spans="1:22" x14ac:dyDescent="0.25">
      <c r="A84" s="24" t="s">
        <v>41</v>
      </c>
      <c r="B84" s="5" t="s">
        <v>42</v>
      </c>
      <c r="C84" s="210"/>
      <c r="D84" s="279"/>
      <c r="E84" s="263"/>
      <c r="F84" s="239">
        <f t="shared" si="4"/>
        <v>0</v>
      </c>
      <c r="G84" s="239"/>
      <c r="H84" s="239"/>
      <c r="I84" s="290"/>
      <c r="J84" s="188"/>
      <c r="K84" s="290"/>
      <c r="L84" s="188"/>
      <c r="M84" s="188"/>
      <c r="N84" s="188"/>
      <c r="O84" s="171"/>
      <c r="P84" s="153">
        <v>-11300</v>
      </c>
      <c r="Q84" s="127"/>
    </row>
    <row r="85" spans="1:22" x14ac:dyDescent="0.25">
      <c r="A85" s="24" t="str">
        <f>"4610"</f>
        <v>4610</v>
      </c>
      <c r="B85" s="5" t="str">
        <f>"Mötesverksamhet"</f>
        <v>Mötesverksamhet</v>
      </c>
      <c r="C85" s="210"/>
      <c r="D85" s="279">
        <v>-2000</v>
      </c>
      <c r="E85" s="263">
        <v>0</v>
      </c>
      <c r="F85" s="239">
        <f t="shared" si="4"/>
        <v>2000</v>
      </c>
      <c r="G85" s="239"/>
      <c r="H85" s="239">
        <v>0</v>
      </c>
      <c r="I85" s="290"/>
      <c r="J85" s="188">
        <v>-263.37</v>
      </c>
      <c r="K85" s="290">
        <v>-2832</v>
      </c>
      <c r="L85" s="188">
        <v>-7165.2</v>
      </c>
      <c r="M85" s="188">
        <v>-1182.45</v>
      </c>
      <c r="N85" s="188">
        <v>-4700</v>
      </c>
      <c r="O85" s="171">
        <v>-8029</v>
      </c>
      <c r="P85" s="153">
        <v>-663</v>
      </c>
      <c r="Q85" s="127">
        <v>-223</v>
      </c>
    </row>
    <row r="86" spans="1:22" x14ac:dyDescent="0.25">
      <c r="A86" s="24" t="s">
        <v>43</v>
      </c>
      <c r="B86" s="5" t="s">
        <v>44</v>
      </c>
      <c r="C86" s="210"/>
      <c r="D86" s="279"/>
      <c r="E86" s="263"/>
      <c r="F86" s="239">
        <f t="shared" si="4"/>
        <v>0</v>
      </c>
      <c r="G86" s="239"/>
      <c r="H86" s="239"/>
      <c r="I86" s="290"/>
      <c r="J86" s="188"/>
      <c r="K86" s="290"/>
      <c r="L86" s="188"/>
      <c r="M86" s="188"/>
      <c r="N86" s="188"/>
      <c r="O86" s="171"/>
      <c r="P86" s="153"/>
      <c r="Q86" s="127"/>
    </row>
    <row r="87" spans="1:22" x14ac:dyDescent="0.25">
      <c r="A87" s="24" t="str">
        <f>"4710"</f>
        <v>4710</v>
      </c>
      <c r="B87" s="5" t="str">
        <f>"Märken och priser"</f>
        <v>Märken och priser</v>
      </c>
      <c r="C87" s="210">
        <v>0</v>
      </c>
      <c r="D87" s="279">
        <v>0</v>
      </c>
      <c r="E87" s="263"/>
      <c r="F87" s="239">
        <f t="shared" si="4"/>
        <v>0</v>
      </c>
      <c r="G87" s="239"/>
      <c r="H87" s="239"/>
      <c r="I87" s="290"/>
      <c r="J87" s="188">
        <v>0</v>
      </c>
      <c r="K87" s="290">
        <v>-1268.8</v>
      </c>
      <c r="L87" s="188">
        <v>-6469</v>
      </c>
      <c r="M87" s="188">
        <v>-4401</v>
      </c>
      <c r="N87" s="188">
        <v>-4127</v>
      </c>
      <c r="O87" s="171">
        <v>-3630</v>
      </c>
      <c r="P87" s="153">
        <v>-3710</v>
      </c>
      <c r="Q87" s="127">
        <v>-6310</v>
      </c>
    </row>
    <row r="88" spans="1:22" x14ac:dyDescent="0.25">
      <c r="A88" s="24" t="str">
        <f>"4800"</f>
        <v>4800</v>
      </c>
      <c r="B88" s="5" t="str">
        <f>"Medlemmarnas pengar"</f>
        <v>Medlemmarnas pengar</v>
      </c>
      <c r="C88" s="210"/>
      <c r="D88" s="279"/>
      <c r="E88" s="263"/>
      <c r="F88" s="239"/>
      <c r="G88" s="239"/>
      <c r="H88" s="239"/>
      <c r="I88" s="290"/>
      <c r="J88" s="188"/>
      <c r="K88" s="290"/>
      <c r="L88" s="188"/>
      <c r="M88" s="188"/>
      <c r="N88" s="188"/>
      <c r="O88" s="171"/>
      <c r="P88" s="153"/>
      <c r="Q88" s="127"/>
    </row>
    <row r="89" spans="1:22" x14ac:dyDescent="0.25">
      <c r="A89" s="26"/>
      <c r="B89" s="6"/>
      <c r="C89" s="210"/>
      <c r="D89" s="279"/>
      <c r="E89" s="263"/>
      <c r="F89" s="239"/>
      <c r="G89" s="239"/>
      <c r="H89" s="239"/>
      <c r="I89" s="290"/>
      <c r="J89" s="188"/>
      <c r="K89" s="290"/>
      <c r="L89" s="188"/>
      <c r="M89" s="188"/>
      <c r="N89" s="188"/>
      <c r="O89" s="6"/>
      <c r="P89" s="153"/>
      <c r="Q89" s="129"/>
    </row>
    <row r="90" spans="1:22" s="1" customFormat="1" ht="15.75" thickBot="1" x14ac:dyDescent="0.3">
      <c r="A90" s="27" t="str">
        <f>"S:a Råvaror och förnödenheter mm"</f>
        <v>S:a Råvaror och förnödenheter mm</v>
      </c>
      <c r="B90" s="14"/>
      <c r="C90" s="212">
        <f>SUM(C63:C88)</f>
        <v>-440000</v>
      </c>
      <c r="D90" s="283">
        <v>-430000</v>
      </c>
      <c r="E90" s="265">
        <f>SUM(E62:E88)</f>
        <v>-714033.34000000008</v>
      </c>
      <c r="F90" s="240"/>
      <c r="G90" s="240"/>
      <c r="H90" s="240">
        <v>-531410.98</v>
      </c>
      <c r="I90" s="292">
        <f>SUM(I62:I88)</f>
        <v>-291603.33</v>
      </c>
      <c r="J90" s="189">
        <v>-194557.96</v>
      </c>
      <c r="K90" s="292">
        <f>SUM(K62:K88)</f>
        <v>-514658.19999999995</v>
      </c>
      <c r="L90" s="189">
        <f t="shared" ref="L90:Q90" si="5">SUM(L62:L88)</f>
        <v>-442786.36</v>
      </c>
      <c r="M90" s="189">
        <f t="shared" si="5"/>
        <v>-308672.45</v>
      </c>
      <c r="N90" s="189">
        <f t="shared" si="5"/>
        <v>-350860.65</v>
      </c>
      <c r="O90" s="170">
        <f t="shared" si="5"/>
        <v>-286733.83</v>
      </c>
      <c r="P90" s="109">
        <f t="shared" si="5"/>
        <v>-286003.48</v>
      </c>
      <c r="Q90" s="119">
        <f t="shared" si="5"/>
        <v>-259088</v>
      </c>
    </row>
    <row r="91" spans="1:22" x14ac:dyDescent="0.25">
      <c r="A91" s="19"/>
      <c r="B91" s="20"/>
      <c r="C91" s="205"/>
      <c r="D91" s="282"/>
      <c r="E91" s="266"/>
      <c r="F91" s="241"/>
      <c r="G91" s="241"/>
      <c r="H91" s="241"/>
      <c r="I91" s="293"/>
      <c r="J91" s="190"/>
      <c r="K91" s="293"/>
      <c r="L91" s="190"/>
      <c r="M91" s="190"/>
      <c r="N91" s="190"/>
      <c r="O91" s="168"/>
      <c r="P91" s="155"/>
      <c r="Q91" s="128"/>
    </row>
    <row r="92" spans="1:22" x14ac:dyDescent="0.25">
      <c r="A92" s="26"/>
      <c r="B92" s="6"/>
      <c r="C92" s="203"/>
      <c r="D92" s="278"/>
      <c r="E92" s="263"/>
      <c r="F92" s="239"/>
      <c r="G92" s="239"/>
      <c r="H92" s="239"/>
      <c r="I92" s="290"/>
      <c r="J92" s="188"/>
      <c r="K92" s="290"/>
      <c r="L92" s="188"/>
      <c r="M92" s="188"/>
      <c r="N92" s="188"/>
      <c r="O92" s="6"/>
      <c r="P92" s="153"/>
      <c r="Q92" s="129"/>
    </row>
    <row r="93" spans="1:22" s="1" customFormat="1" ht="15.75" thickBot="1" x14ac:dyDescent="0.3">
      <c r="A93" s="27" t="str">
        <f>"Bruttovinst"</f>
        <v>Bruttovinst</v>
      </c>
      <c r="B93" s="14"/>
      <c r="C93" s="212">
        <f>C58+C90</f>
        <v>187600</v>
      </c>
      <c r="D93" s="283">
        <v>204000</v>
      </c>
      <c r="E93" s="265">
        <f>E58+E90</f>
        <v>204337.92999999993</v>
      </c>
      <c r="F93" s="240"/>
      <c r="G93" s="240"/>
      <c r="H93" s="240">
        <v>118452.35999999999</v>
      </c>
      <c r="I93" s="292">
        <f>I58+I90</f>
        <v>251182.72000000003</v>
      </c>
      <c r="J93" s="189">
        <v>325785.30999999994</v>
      </c>
      <c r="K93" s="292">
        <f>K58+K90</f>
        <v>188353.40000000002</v>
      </c>
      <c r="L93" s="189">
        <f t="shared" ref="L93:Q93" si="6">L58+L90</f>
        <v>82312.390000000014</v>
      </c>
      <c r="M93" s="189">
        <f t="shared" si="6"/>
        <v>268565.3</v>
      </c>
      <c r="N93" s="189">
        <f t="shared" si="6"/>
        <v>124867.34999999998</v>
      </c>
      <c r="O93" s="167">
        <f t="shared" si="6"/>
        <v>147498.5</v>
      </c>
      <c r="P93" s="154">
        <f t="shared" si="6"/>
        <v>266452.52</v>
      </c>
      <c r="Q93" s="119">
        <f t="shared" si="6"/>
        <v>152795.5</v>
      </c>
    </row>
    <row r="94" spans="1:22" x14ac:dyDescent="0.25">
      <c r="A94" s="19"/>
      <c r="B94" s="20"/>
      <c r="C94" s="205"/>
      <c r="D94" s="282"/>
      <c r="E94" s="266"/>
      <c r="F94" s="241"/>
      <c r="G94" s="241"/>
      <c r="H94" s="241"/>
      <c r="I94" s="293"/>
      <c r="J94" s="190"/>
      <c r="K94" s="293"/>
      <c r="L94" s="190"/>
      <c r="M94" s="190"/>
      <c r="N94" s="190"/>
      <c r="O94" s="168"/>
      <c r="P94" s="155"/>
      <c r="Q94" s="128"/>
    </row>
    <row r="95" spans="1:22" x14ac:dyDescent="0.25">
      <c r="A95" s="22" t="str">
        <f>"Övriga externa kostnader"</f>
        <v>Övriga externa kostnader</v>
      </c>
      <c r="B95" s="6"/>
      <c r="C95" s="203"/>
      <c r="D95" s="278"/>
      <c r="E95" s="263"/>
      <c r="F95" s="239"/>
      <c r="G95" s="239"/>
      <c r="H95" s="239"/>
      <c r="I95" s="290"/>
      <c r="J95" s="188"/>
      <c r="K95" s="290"/>
      <c r="L95" s="188"/>
      <c r="M95" s="188"/>
      <c r="N95" s="188"/>
      <c r="O95" s="6"/>
      <c r="P95" s="153"/>
      <c r="Q95" s="129"/>
    </row>
    <row r="96" spans="1:22" x14ac:dyDescent="0.25">
      <c r="A96" s="22"/>
      <c r="B96" s="192"/>
      <c r="C96" s="249"/>
      <c r="D96" s="285"/>
      <c r="E96" s="268"/>
      <c r="F96" s="252"/>
      <c r="G96" s="252"/>
      <c r="H96" s="252"/>
      <c r="I96" s="294"/>
      <c r="J96" s="251"/>
      <c r="K96" s="294"/>
      <c r="L96" s="251"/>
      <c r="M96" s="251"/>
      <c r="N96" s="251"/>
      <c r="O96" s="192"/>
      <c r="P96" s="253"/>
      <c r="Q96" s="254"/>
    </row>
    <row r="97" spans="1:17" x14ac:dyDescent="0.25">
      <c r="A97" s="24" t="s">
        <v>176</v>
      </c>
      <c r="B97" s="5" t="s">
        <v>177</v>
      </c>
      <c r="C97" s="210">
        <v>-2500</v>
      </c>
      <c r="D97" s="279">
        <v>-3000</v>
      </c>
      <c r="E97" s="263">
        <v>-1152</v>
      </c>
      <c r="F97" s="239">
        <f t="shared" ref="F97" si="7">-(D97-E97)</f>
        <v>1848</v>
      </c>
      <c r="G97" s="239"/>
      <c r="H97" s="239">
        <v>-2772</v>
      </c>
      <c r="I97" s="290">
        <v>-198</v>
      </c>
      <c r="J97" s="188"/>
      <c r="K97" s="290"/>
      <c r="L97" s="188"/>
      <c r="M97" s="188"/>
      <c r="N97" s="188"/>
      <c r="O97" s="171"/>
      <c r="P97" s="153"/>
      <c r="Q97" s="127"/>
    </row>
    <row r="98" spans="1:17" x14ac:dyDescent="0.25">
      <c r="A98" s="24" t="s">
        <v>147</v>
      </c>
      <c r="B98" s="5" t="s">
        <v>148</v>
      </c>
      <c r="C98" s="210"/>
      <c r="D98" s="279">
        <v>0</v>
      </c>
      <c r="F98" s="239"/>
      <c r="G98" s="239"/>
      <c r="H98" s="239"/>
      <c r="I98" s="290"/>
      <c r="J98" s="188">
        <v>-4140</v>
      </c>
      <c r="K98" s="290"/>
      <c r="L98" s="188"/>
      <c r="M98" s="188">
        <v>-7077</v>
      </c>
      <c r="N98" s="188"/>
      <c r="O98" s="171"/>
      <c r="P98" s="153"/>
      <c r="Q98" s="127"/>
    </row>
    <row r="99" spans="1:17" x14ac:dyDescent="0.25">
      <c r="A99" s="24" t="s">
        <v>185</v>
      </c>
      <c r="B99" s="5" t="s">
        <v>186</v>
      </c>
      <c r="C99" s="210"/>
      <c r="D99" s="279">
        <v>-30000</v>
      </c>
      <c r="E99" s="263">
        <v>-7265</v>
      </c>
      <c r="F99" s="239"/>
      <c r="G99" s="239"/>
      <c r="H99" s="239">
        <v>-31803.75</v>
      </c>
      <c r="I99" s="290"/>
      <c r="J99" s="188"/>
      <c r="K99" s="290"/>
      <c r="L99" s="188"/>
      <c r="M99" s="188"/>
      <c r="N99" s="188"/>
      <c r="O99" s="171"/>
      <c r="P99" s="153"/>
      <c r="Q99" s="127"/>
    </row>
    <row r="100" spans="1:17" x14ac:dyDescent="0.25">
      <c r="A100" s="24" t="str">
        <f>"5110"</f>
        <v>5110</v>
      </c>
      <c r="B100" s="5" t="str">
        <f>"Arrende"</f>
        <v>Arrende</v>
      </c>
      <c r="C100" s="210">
        <v>-4600</v>
      </c>
      <c r="D100" s="279">
        <v>-4500</v>
      </c>
      <c r="E100" s="263">
        <v>-4413</v>
      </c>
      <c r="F100" s="239">
        <f t="shared" ref="F100:F121" si="8">-(D100-E100)</f>
        <v>87</v>
      </c>
      <c r="G100" s="239"/>
      <c r="H100" s="239">
        <v>-4413</v>
      </c>
      <c r="I100" s="290">
        <v>-4292</v>
      </c>
      <c r="J100" s="188">
        <v>-4281</v>
      </c>
      <c r="K100" s="290">
        <v>-4213</v>
      </c>
      <c r="L100" s="188">
        <v>-4119</v>
      </c>
      <c r="M100" s="188">
        <v>-4051</v>
      </c>
      <c r="N100" s="188">
        <v>-4004</v>
      </c>
      <c r="O100" s="171">
        <v>-4000</v>
      </c>
      <c r="P100" s="153">
        <v>-1643</v>
      </c>
      <c r="Q100" s="127">
        <v>-1643</v>
      </c>
    </row>
    <row r="101" spans="1:17" x14ac:dyDescent="0.25">
      <c r="A101" s="24" t="str">
        <f>"5120"</f>
        <v>5120</v>
      </c>
      <c r="B101" s="5" t="str">
        <f>"Elektricitet"</f>
        <v>Elektricitet</v>
      </c>
      <c r="C101" s="210">
        <v>-35000</v>
      </c>
      <c r="D101" s="279">
        <v>-45000</v>
      </c>
      <c r="E101" s="263">
        <v>-32067</v>
      </c>
      <c r="F101" s="239">
        <f t="shared" si="8"/>
        <v>12933</v>
      </c>
      <c r="G101" s="239"/>
      <c r="H101" s="239">
        <v>-43101</v>
      </c>
      <c r="I101" s="290">
        <v>-31211</v>
      </c>
      <c r="J101" s="188">
        <v>-21124</v>
      </c>
      <c r="K101" s="290">
        <v>-32089</v>
      </c>
      <c r="L101" s="188">
        <v>-24974</v>
      </c>
      <c r="M101" s="188">
        <v>-20172</v>
      </c>
      <c r="N101" s="188">
        <v>-15738</v>
      </c>
      <c r="O101" s="171">
        <v>-21431</v>
      </c>
      <c r="P101" s="153">
        <v>-24526</v>
      </c>
      <c r="Q101" s="127">
        <v>-28939</v>
      </c>
    </row>
    <row r="102" spans="1:17" x14ac:dyDescent="0.25">
      <c r="A102" s="24" t="str">
        <f>"5140"</f>
        <v>5140</v>
      </c>
      <c r="B102" s="5" t="str">
        <f>"Vatten och sophämtning"</f>
        <v>Vatten och sophämtning</v>
      </c>
      <c r="C102" s="210">
        <v>-7500</v>
      </c>
      <c r="D102" s="279">
        <v>-7000</v>
      </c>
      <c r="E102" s="263">
        <v>-7485</v>
      </c>
      <c r="F102" s="239">
        <f t="shared" si="8"/>
        <v>-485</v>
      </c>
      <c r="G102" s="239"/>
      <c r="H102" s="239">
        <v>-6246</v>
      </c>
      <c r="I102" s="290">
        <v>-8149</v>
      </c>
      <c r="J102" s="188">
        <v>-7733</v>
      </c>
      <c r="K102" s="290">
        <v>-9609</v>
      </c>
      <c r="L102" s="188">
        <v>-9718</v>
      </c>
      <c r="M102" s="188">
        <v>-6787</v>
      </c>
      <c r="N102" s="188">
        <v>-4833</v>
      </c>
      <c r="O102" s="171">
        <v>-6464</v>
      </c>
      <c r="P102" s="153">
        <v>-5849</v>
      </c>
      <c r="Q102" s="127">
        <v>-6178</v>
      </c>
    </row>
    <row r="103" spans="1:17" x14ac:dyDescent="0.25">
      <c r="A103" s="24" t="s">
        <v>45</v>
      </c>
      <c r="B103" s="5" t="s">
        <v>46</v>
      </c>
      <c r="C103" s="210">
        <v>-10000</v>
      </c>
      <c r="D103" s="279">
        <v>0</v>
      </c>
      <c r="E103" s="263"/>
      <c r="F103" s="255">
        <f t="shared" si="8"/>
        <v>0</v>
      </c>
      <c r="G103" s="239"/>
      <c r="H103" s="239"/>
      <c r="I103" s="290"/>
      <c r="J103" s="188">
        <v>0</v>
      </c>
      <c r="K103" s="290">
        <v>-10145</v>
      </c>
      <c r="L103" s="188"/>
      <c r="N103" s="188"/>
      <c r="O103" s="171">
        <v>-8039.38</v>
      </c>
      <c r="P103" s="153"/>
      <c r="Q103" s="127"/>
    </row>
    <row r="104" spans="1:17" x14ac:dyDescent="0.25">
      <c r="A104" s="24" t="str">
        <f>"5170"</f>
        <v>5170</v>
      </c>
      <c r="B104" s="5" t="str">
        <f>"Fastighetsunderhåll"</f>
        <v>Fastighetsunderhåll</v>
      </c>
      <c r="C104" s="210">
        <v>-30000</v>
      </c>
      <c r="D104" s="279">
        <v>-5000</v>
      </c>
      <c r="E104" s="263">
        <v>-28220</v>
      </c>
      <c r="F104" s="239">
        <f t="shared" si="8"/>
        <v>-23220</v>
      </c>
      <c r="G104" s="239"/>
      <c r="H104" s="239"/>
      <c r="I104" s="290"/>
      <c r="J104" s="188">
        <v>-64149</v>
      </c>
      <c r="K104" s="290">
        <v>-10831.7</v>
      </c>
      <c r="L104" s="188">
        <v>-113866.87</v>
      </c>
      <c r="M104" s="188">
        <v>-135001.76999999999</v>
      </c>
      <c r="N104" s="188">
        <v>-1287</v>
      </c>
      <c r="O104" s="171">
        <v>-5540.5</v>
      </c>
      <c r="P104" s="153">
        <v>-18240</v>
      </c>
      <c r="Q104" s="127">
        <v>-53805</v>
      </c>
    </row>
    <row r="105" spans="1:17" x14ac:dyDescent="0.25">
      <c r="A105" s="24" t="s">
        <v>47</v>
      </c>
      <c r="B105" s="5" t="s">
        <v>48</v>
      </c>
      <c r="C105" s="210"/>
      <c r="D105" s="279"/>
      <c r="E105" s="263"/>
      <c r="F105" s="239">
        <f t="shared" si="8"/>
        <v>0</v>
      </c>
      <c r="G105" s="239"/>
      <c r="H105" s="239"/>
      <c r="I105" s="290"/>
      <c r="J105" s="188"/>
      <c r="K105" s="290"/>
      <c r="L105" s="188"/>
      <c r="M105" s="188"/>
      <c r="N105" s="188"/>
      <c r="O105" s="171">
        <v>-4006</v>
      </c>
      <c r="P105" s="153">
        <v>-61624.5</v>
      </c>
      <c r="Q105" s="127"/>
    </row>
    <row r="106" spans="1:17" x14ac:dyDescent="0.25">
      <c r="A106" s="24" t="str">
        <f>"5410"</f>
        <v>5410</v>
      </c>
      <c r="B106" s="5" t="str">
        <f>"Förbrukningsinventarier"</f>
        <v>Förbrukningsinventarier</v>
      </c>
      <c r="C106" s="210"/>
      <c r="D106" s="279">
        <v>-3000</v>
      </c>
      <c r="E106" s="263">
        <v>0</v>
      </c>
      <c r="F106" s="255">
        <f t="shared" si="8"/>
        <v>3000</v>
      </c>
      <c r="G106" s="239"/>
      <c r="H106" s="239">
        <v>0</v>
      </c>
      <c r="I106" s="290">
        <v>-1947.85</v>
      </c>
      <c r="J106" s="188">
        <v>-3406.35</v>
      </c>
      <c r="K106" s="290">
        <v>-16461.900000000001</v>
      </c>
      <c r="L106" s="188">
        <v>-43884.6</v>
      </c>
      <c r="M106" s="188">
        <v>-2639</v>
      </c>
      <c r="N106" s="188">
        <v>-13444</v>
      </c>
      <c r="O106" s="171">
        <v>-1795</v>
      </c>
      <c r="P106" s="153">
        <v>-1038</v>
      </c>
      <c r="Q106" s="127">
        <v>-1675</v>
      </c>
    </row>
    <row r="107" spans="1:17" x14ac:dyDescent="0.25">
      <c r="A107" s="24" t="str">
        <f>"5420"</f>
        <v>5420</v>
      </c>
      <c r="B107" s="5" t="str">
        <f>"Programvaror"</f>
        <v>Programvaror</v>
      </c>
      <c r="C107" s="210">
        <v>-10000</v>
      </c>
      <c r="D107" s="279">
        <v>-300</v>
      </c>
      <c r="E107" s="263">
        <v>-6930</v>
      </c>
      <c r="F107" s="239">
        <f t="shared" si="8"/>
        <v>-6630</v>
      </c>
      <c r="G107" s="239"/>
      <c r="H107" s="239">
        <v>-213.68</v>
      </c>
      <c r="I107" s="290">
        <v>-206.53</v>
      </c>
      <c r="J107" s="188">
        <v>-211.21</v>
      </c>
      <c r="K107" s="290"/>
      <c r="L107" s="188"/>
      <c r="M107" s="188"/>
      <c r="N107" s="188"/>
      <c r="O107" s="171"/>
      <c r="P107" s="153">
        <v>-1265</v>
      </c>
      <c r="Q107" s="127">
        <v>-1200</v>
      </c>
    </row>
    <row r="108" spans="1:17" x14ac:dyDescent="0.25">
      <c r="A108" s="24" t="s">
        <v>49</v>
      </c>
      <c r="B108" s="5" t="s">
        <v>50</v>
      </c>
      <c r="C108" s="210">
        <v>-1000</v>
      </c>
      <c r="D108" s="279">
        <v>-3000</v>
      </c>
      <c r="E108" s="263">
        <v>0</v>
      </c>
      <c r="F108" s="255">
        <f t="shared" si="8"/>
        <v>3000</v>
      </c>
      <c r="G108" s="239"/>
      <c r="H108" s="239">
        <v>-2949.3</v>
      </c>
      <c r="I108" s="290">
        <v>-3077.25</v>
      </c>
      <c r="J108" s="188">
        <v>-8152.97</v>
      </c>
      <c r="K108" s="290">
        <v>-9988.17</v>
      </c>
      <c r="L108" s="188">
        <v>-1525.8</v>
      </c>
      <c r="M108" s="188">
        <v>-6039.33</v>
      </c>
      <c r="N108" s="188">
        <v>-1616</v>
      </c>
      <c r="O108" s="171">
        <v>-3556</v>
      </c>
      <c r="P108" s="153"/>
      <c r="Q108" s="127"/>
    </row>
    <row r="109" spans="1:17" x14ac:dyDescent="0.25">
      <c r="A109" s="24" t="str">
        <f>"5500"</f>
        <v>5500</v>
      </c>
      <c r="B109" s="5" t="str">
        <f>"Kanotunderhåll"</f>
        <v>Kanotunderhåll</v>
      </c>
      <c r="C109" s="210">
        <v>-3000</v>
      </c>
      <c r="D109" s="279">
        <v>-3000</v>
      </c>
      <c r="E109" s="263">
        <v>-5458.76</v>
      </c>
      <c r="F109" s="255">
        <f t="shared" si="8"/>
        <v>-2458.7600000000002</v>
      </c>
      <c r="G109" s="239"/>
      <c r="H109" s="239">
        <v>-1355</v>
      </c>
      <c r="I109" s="290">
        <v>-3746.2</v>
      </c>
      <c r="J109" s="188">
        <v>-735.85</v>
      </c>
      <c r="K109" s="290">
        <v>-1212.7</v>
      </c>
      <c r="L109" s="188">
        <v>-1752.8</v>
      </c>
      <c r="M109" s="188">
        <v>0</v>
      </c>
      <c r="N109" s="188"/>
      <c r="O109" s="171">
        <v>-2258</v>
      </c>
      <c r="P109" s="153">
        <v>-4670</v>
      </c>
      <c r="Q109" s="127">
        <v>-1400</v>
      </c>
    </row>
    <row r="110" spans="1:17" x14ac:dyDescent="0.25">
      <c r="A110" s="24" t="str">
        <f>"5611"</f>
        <v>5611</v>
      </c>
      <c r="B110" s="5" t="s">
        <v>51</v>
      </c>
      <c r="C110" s="210">
        <v>-5000</v>
      </c>
      <c r="D110" s="279">
        <v>-6000</v>
      </c>
      <c r="E110" s="263">
        <v>-4116.42</v>
      </c>
      <c r="F110" s="239">
        <f t="shared" si="8"/>
        <v>1883.58</v>
      </c>
      <c r="G110" s="239"/>
      <c r="H110" s="239">
        <v>-4756.33</v>
      </c>
      <c r="I110" s="290">
        <v>-4358.88</v>
      </c>
      <c r="J110" s="188">
        <v>-4865.28</v>
      </c>
      <c r="K110" s="290">
        <v>-3277.79</v>
      </c>
      <c r="L110" s="188">
        <v>-2789.82</v>
      </c>
      <c r="M110" s="188">
        <v>1414.08</v>
      </c>
      <c r="N110" s="188">
        <v>-875</v>
      </c>
      <c r="O110" s="171">
        <v>-1569</v>
      </c>
      <c r="P110" s="153">
        <v>-573</v>
      </c>
      <c r="Q110" s="127">
        <v>-1867</v>
      </c>
    </row>
    <row r="111" spans="1:17" x14ac:dyDescent="0.25">
      <c r="A111" s="24" t="str">
        <f>"5612"</f>
        <v>5612</v>
      </c>
      <c r="B111" s="5" t="str">
        <f>"Försäkring"</f>
        <v>Försäkring</v>
      </c>
      <c r="C111" s="210">
        <v>-22000</v>
      </c>
      <c r="D111" s="279">
        <v>-20000</v>
      </c>
      <c r="E111" s="263">
        <v>-20296</v>
      </c>
      <c r="F111" s="255">
        <f t="shared" si="8"/>
        <v>-296</v>
      </c>
      <c r="G111" s="239"/>
      <c r="H111" s="239">
        <v>-19409</v>
      </c>
      <c r="I111" s="290">
        <v>-19023</v>
      </c>
      <c r="J111" s="188">
        <v>-18509</v>
      </c>
      <c r="K111" s="290">
        <v>-17955</v>
      </c>
      <c r="L111" s="188">
        <v>-21275</v>
      </c>
      <c r="M111" s="188">
        <v>-16185</v>
      </c>
      <c r="N111" s="188">
        <v>-7266</v>
      </c>
      <c r="O111" s="171">
        <v>-28098</v>
      </c>
      <c r="P111" s="153">
        <v>-27736</v>
      </c>
      <c r="Q111" s="127">
        <v>-43706</v>
      </c>
    </row>
    <row r="112" spans="1:17" x14ac:dyDescent="0.25">
      <c r="A112" s="24" t="s">
        <v>52</v>
      </c>
      <c r="B112" s="5" t="s">
        <v>53</v>
      </c>
      <c r="C112" s="210">
        <v>-1500</v>
      </c>
      <c r="D112" s="279">
        <v>-1000</v>
      </c>
      <c r="E112" s="263">
        <v>-1420</v>
      </c>
      <c r="F112" s="255">
        <f t="shared" si="8"/>
        <v>-420</v>
      </c>
      <c r="G112" s="239"/>
      <c r="H112" s="239">
        <v>-610</v>
      </c>
      <c r="I112" s="290">
        <v>-954</v>
      </c>
      <c r="J112" s="188">
        <v>-525</v>
      </c>
      <c r="K112" s="290">
        <v>-1714</v>
      </c>
      <c r="L112" s="188"/>
      <c r="M112" s="188"/>
      <c r="N112" s="188"/>
      <c r="O112" s="171">
        <v>-4371</v>
      </c>
      <c r="P112" s="153"/>
      <c r="Q112" s="127">
        <v>-400</v>
      </c>
    </row>
    <row r="113" spans="1:17" x14ac:dyDescent="0.25">
      <c r="A113" s="24" t="s">
        <v>178</v>
      </c>
      <c r="B113" s="5" t="s">
        <v>179</v>
      </c>
      <c r="C113" s="210">
        <v>-2000</v>
      </c>
      <c r="D113" s="279"/>
      <c r="E113" s="263">
        <v>-8072</v>
      </c>
      <c r="F113" s="255">
        <f>-(D113-E113)</f>
        <v>-8072</v>
      </c>
      <c r="G113" s="239"/>
      <c r="H113" s="239">
        <v>0</v>
      </c>
      <c r="I113" s="290">
        <v>-599.5</v>
      </c>
      <c r="J113" s="188"/>
      <c r="K113" s="290"/>
      <c r="L113" s="188"/>
      <c r="M113" s="188"/>
      <c r="N113" s="188"/>
      <c r="O113" s="171"/>
      <c r="P113" s="153">
        <v>-315</v>
      </c>
      <c r="Q113" s="127"/>
    </row>
    <row r="114" spans="1:17" x14ac:dyDescent="0.25">
      <c r="A114" s="24" t="str">
        <f>"5620"</f>
        <v>5620</v>
      </c>
      <c r="B114" s="5" t="s">
        <v>54</v>
      </c>
      <c r="C114" s="210">
        <v>-3000</v>
      </c>
      <c r="D114" s="279">
        <v>-3400</v>
      </c>
      <c r="E114" s="263">
        <v>0</v>
      </c>
      <c r="F114" s="255">
        <f t="shared" si="8"/>
        <v>3400</v>
      </c>
      <c r="G114" s="239"/>
      <c r="H114" s="239">
        <v>-3358</v>
      </c>
      <c r="I114" s="290">
        <v>-2295</v>
      </c>
      <c r="J114" s="188">
        <v>0</v>
      </c>
      <c r="K114" s="290">
        <v>0</v>
      </c>
      <c r="L114" s="188">
        <v>-1445.9</v>
      </c>
      <c r="M114" s="188">
        <v>-49893</v>
      </c>
      <c r="N114" s="188">
        <v>-2295</v>
      </c>
      <c r="O114" s="171">
        <v>-8015</v>
      </c>
      <c r="P114" s="153">
        <v>-1476</v>
      </c>
      <c r="Q114" s="127">
        <v>-1721</v>
      </c>
    </row>
    <row r="115" spans="1:17" x14ac:dyDescent="0.25">
      <c r="A115" s="24" t="s">
        <v>55</v>
      </c>
      <c r="B115" s="5" t="s">
        <v>56</v>
      </c>
      <c r="C115" s="210">
        <v>-1000</v>
      </c>
      <c r="D115" s="279"/>
      <c r="E115" s="263">
        <v>-750.2</v>
      </c>
      <c r="F115" s="255">
        <f t="shared" si="8"/>
        <v>-750.2</v>
      </c>
      <c r="G115" s="239"/>
      <c r="H115" s="239"/>
      <c r="I115" s="290"/>
      <c r="J115" s="188"/>
      <c r="K115" s="290"/>
      <c r="L115" s="188"/>
      <c r="M115" s="188"/>
      <c r="N115" s="188"/>
      <c r="O115" s="171"/>
      <c r="P115" s="153"/>
      <c r="Q115" s="127"/>
    </row>
    <row r="116" spans="1:17" x14ac:dyDescent="0.25">
      <c r="A116" s="24" t="str">
        <f>"6110"</f>
        <v>6110</v>
      </c>
      <c r="B116" s="5" t="str">
        <f>"Kontorsmaterial"</f>
        <v>Kontorsmaterial</v>
      </c>
      <c r="C116" s="210"/>
      <c r="D116" s="279"/>
      <c r="E116" s="263">
        <v>0</v>
      </c>
      <c r="F116" s="255">
        <f t="shared" si="8"/>
        <v>0</v>
      </c>
      <c r="G116" s="239"/>
      <c r="H116" s="239"/>
      <c r="I116" s="290"/>
      <c r="J116" s="188"/>
      <c r="K116" s="290"/>
      <c r="L116" s="188"/>
      <c r="M116" s="188"/>
      <c r="N116" s="188">
        <v>-148</v>
      </c>
      <c r="O116" s="171">
        <v>-1733</v>
      </c>
      <c r="P116" s="153">
        <v>-138</v>
      </c>
      <c r="Q116" s="127">
        <v>-115</v>
      </c>
    </row>
    <row r="117" spans="1:17" x14ac:dyDescent="0.25">
      <c r="A117" s="24" t="str">
        <f>"6210"</f>
        <v>6210</v>
      </c>
      <c r="B117" s="5" t="str">
        <f>"Telefon"</f>
        <v>Telefon</v>
      </c>
      <c r="C117" s="210">
        <f>-149*10</f>
        <v>-1490</v>
      </c>
      <c r="D117" s="279"/>
      <c r="E117" s="263"/>
      <c r="F117" s="255">
        <f t="shared" si="8"/>
        <v>0</v>
      </c>
      <c r="G117" s="239"/>
      <c r="H117" s="239"/>
      <c r="I117" s="290"/>
      <c r="J117" s="188"/>
      <c r="K117" s="290"/>
      <c r="L117" s="188"/>
      <c r="M117" s="188"/>
      <c r="N117" s="188"/>
      <c r="O117" s="171"/>
      <c r="P117" s="153">
        <v>-440</v>
      </c>
      <c r="Q117" s="127">
        <v>-1928</v>
      </c>
    </row>
    <row r="118" spans="1:17" x14ac:dyDescent="0.25">
      <c r="A118" s="24" t="str">
        <f>"6250"</f>
        <v>6250</v>
      </c>
      <c r="B118" s="5" t="str">
        <f>"Porto"</f>
        <v>Porto</v>
      </c>
      <c r="C118" s="210"/>
      <c r="D118" s="279"/>
      <c r="E118" s="263"/>
      <c r="F118" s="255">
        <f t="shared" si="8"/>
        <v>0</v>
      </c>
      <c r="G118" s="239"/>
      <c r="H118" s="239"/>
      <c r="I118" s="290"/>
      <c r="J118" s="188"/>
      <c r="K118" s="290"/>
      <c r="L118" s="188"/>
      <c r="M118" s="188"/>
      <c r="N118" s="188">
        <v>-183</v>
      </c>
      <c r="O118" s="171">
        <v>-140</v>
      </c>
      <c r="P118" s="153">
        <v>-60</v>
      </c>
      <c r="Q118" s="127">
        <v>-60</v>
      </c>
    </row>
    <row r="119" spans="1:17" x14ac:dyDescent="0.25">
      <c r="A119" s="24" t="s">
        <v>187</v>
      </c>
      <c r="B119" s="5" t="s">
        <v>188</v>
      </c>
      <c r="C119" s="210">
        <v>-4600</v>
      </c>
      <c r="D119" s="279">
        <v>-4600</v>
      </c>
      <c r="E119" s="263">
        <v>-4600</v>
      </c>
      <c r="F119" s="255"/>
      <c r="G119" s="239"/>
      <c r="H119" s="239">
        <v>-4600</v>
      </c>
      <c r="I119" s="290"/>
      <c r="J119" s="188"/>
      <c r="K119" s="290"/>
      <c r="L119" s="188"/>
      <c r="M119" s="188"/>
      <c r="N119" s="188"/>
      <c r="O119" s="171"/>
      <c r="P119" s="153"/>
      <c r="Q119" s="127"/>
    </row>
    <row r="120" spans="1:17" x14ac:dyDescent="0.25">
      <c r="A120" s="24" t="s">
        <v>169</v>
      </c>
      <c r="B120" s="5" t="s">
        <v>170</v>
      </c>
      <c r="C120" s="210">
        <v>-9000</v>
      </c>
      <c r="D120" s="279">
        <v>-10000</v>
      </c>
      <c r="E120" s="263">
        <v>-8211.2999999999993</v>
      </c>
      <c r="F120" s="255">
        <f t="shared" si="8"/>
        <v>1788.7000000000007</v>
      </c>
      <c r="G120" s="239"/>
      <c r="H120" s="239">
        <v>-7299.5</v>
      </c>
      <c r="I120" s="290">
        <v>-11570.4</v>
      </c>
      <c r="J120" s="188">
        <v>-2667.57</v>
      </c>
      <c r="K120" s="290"/>
      <c r="L120" s="188"/>
      <c r="M120" s="188"/>
      <c r="N120" s="188"/>
      <c r="O120" s="171"/>
      <c r="P120" s="153"/>
      <c r="Q120" s="127"/>
    </row>
    <row r="121" spans="1:17" x14ac:dyDescent="0.25">
      <c r="A121" s="24" t="s">
        <v>127</v>
      </c>
      <c r="B121" s="5" t="s">
        <v>128</v>
      </c>
      <c r="C121" s="210">
        <v>-5000</v>
      </c>
      <c r="D121" s="279">
        <v>-5000</v>
      </c>
      <c r="E121" s="263">
        <v>-4245</v>
      </c>
      <c r="F121" s="255">
        <f t="shared" si="8"/>
        <v>755</v>
      </c>
      <c r="G121" s="239"/>
      <c r="H121" s="239">
        <v>-4005.89</v>
      </c>
      <c r="I121" s="290">
        <v>-5382</v>
      </c>
      <c r="J121" s="188">
        <v>-6405</v>
      </c>
      <c r="K121" s="290">
        <v>-26174</v>
      </c>
      <c r="L121" s="188">
        <v>-27425</v>
      </c>
      <c r="M121" s="188">
        <v>-16680</v>
      </c>
      <c r="N121" s="188"/>
      <c r="O121" s="171"/>
      <c r="P121" s="153"/>
      <c r="Q121" s="127"/>
    </row>
    <row r="122" spans="1:17" x14ac:dyDescent="0.25">
      <c r="A122" s="24" t="str">
        <f>"6570"</f>
        <v>6570</v>
      </c>
      <c r="B122" s="5" t="str">
        <f>"Bankkostnader"</f>
        <v>Bankkostnader</v>
      </c>
      <c r="C122" s="210">
        <v>-1300</v>
      </c>
      <c r="D122" s="279">
        <v>-1000</v>
      </c>
      <c r="E122" s="263">
        <v>-1233</v>
      </c>
      <c r="F122" s="255">
        <f>-(D122-E122)</f>
        <v>-233</v>
      </c>
      <c r="G122" s="239"/>
      <c r="H122" s="239">
        <v>-934.5</v>
      </c>
      <c r="I122" s="290">
        <v>-994.5</v>
      </c>
      <c r="J122" s="188">
        <v>-964.5</v>
      </c>
      <c r="K122" s="290">
        <v>-971.99</v>
      </c>
      <c r="L122" s="188">
        <v>-927</v>
      </c>
      <c r="M122" s="188">
        <v>-909</v>
      </c>
      <c r="N122" s="188">
        <v>-615</v>
      </c>
      <c r="O122" s="171">
        <v>-4.5</v>
      </c>
      <c r="P122" s="153">
        <v>-1869</v>
      </c>
      <c r="Q122" s="127">
        <v>-1971</v>
      </c>
    </row>
    <row r="123" spans="1:17" x14ac:dyDescent="0.25">
      <c r="A123" s="24" t="str">
        <f>"6980"</f>
        <v>6980</v>
      </c>
      <c r="B123" s="5" t="str">
        <f>"Föreningsavgift /Licenser"</f>
        <v>Föreningsavgift /Licenser</v>
      </c>
      <c r="C123" s="210">
        <v>-15000</v>
      </c>
      <c r="D123" s="279">
        <v>-30000</v>
      </c>
      <c r="E123" s="263">
        <v>-11420</v>
      </c>
      <c r="F123" s="255">
        <f>-(D123-E123)</f>
        <v>18580</v>
      </c>
      <c r="G123" s="239"/>
      <c r="H123" s="239">
        <v>-22176</v>
      </c>
      <c r="I123" s="290">
        <v>-13825</v>
      </c>
      <c r="J123" s="188">
        <v>-19240</v>
      </c>
      <c r="K123" s="290">
        <v>-14550</v>
      </c>
      <c r="L123" s="188">
        <v>-18200</v>
      </c>
      <c r="M123" s="188">
        <v>-23420</v>
      </c>
      <c r="N123" s="188">
        <v>-17180</v>
      </c>
      <c r="O123" s="171">
        <v>-15790</v>
      </c>
      <c r="P123" s="153">
        <v>-26978</v>
      </c>
      <c r="Q123" s="127">
        <v>-24550</v>
      </c>
    </row>
    <row r="124" spans="1:17" x14ac:dyDescent="0.25">
      <c r="A124" s="24" t="str">
        <f>"6990"</f>
        <v>6990</v>
      </c>
      <c r="B124" s="5" t="str">
        <f>"Övriga Kostnader"</f>
        <v>Övriga Kostnader</v>
      </c>
      <c r="C124" s="210">
        <v>-2500</v>
      </c>
      <c r="D124" s="279">
        <v>-7000</v>
      </c>
      <c r="E124" s="263">
        <v>-906</v>
      </c>
      <c r="F124" s="255">
        <f>-(D124-E124)</f>
        <v>6094</v>
      </c>
      <c r="G124" s="239"/>
      <c r="H124" s="239">
        <v>-6398</v>
      </c>
      <c r="I124" s="290">
        <v>-6700</v>
      </c>
      <c r="J124" s="188">
        <v>-4478</v>
      </c>
      <c r="K124" s="290">
        <v>-4954.95</v>
      </c>
      <c r="L124" s="188">
        <v>-3187.5</v>
      </c>
      <c r="M124" s="188">
        <v>-778</v>
      </c>
      <c r="N124" s="188">
        <v>-4730.79</v>
      </c>
      <c r="O124" s="171">
        <v>-3998.66</v>
      </c>
      <c r="P124" s="153">
        <v>-3766.5</v>
      </c>
      <c r="Q124" s="127">
        <v>-14526.5</v>
      </c>
    </row>
    <row r="125" spans="1:17" x14ac:dyDescent="0.25">
      <c r="A125" s="26"/>
      <c r="B125" s="6"/>
      <c r="C125" s="210"/>
      <c r="D125" s="279"/>
      <c r="E125" s="263"/>
      <c r="F125" s="255"/>
      <c r="G125" s="239"/>
      <c r="H125" s="239"/>
      <c r="I125" s="290"/>
      <c r="J125" s="188"/>
      <c r="K125" s="290"/>
      <c r="L125" s="188"/>
      <c r="M125" s="188"/>
      <c r="N125" s="188"/>
      <c r="O125" s="6"/>
      <c r="P125" s="153"/>
      <c r="Q125" s="127"/>
    </row>
    <row r="126" spans="1:17" s="1" customFormat="1" ht="15.75" thickBot="1" x14ac:dyDescent="0.3">
      <c r="A126" s="27" t="str">
        <f>"S:a Övriga externa kostnader"</f>
        <v>S:a Övriga externa kostnader</v>
      </c>
      <c r="B126" s="14"/>
      <c r="C126" s="212">
        <f>SUM(C97:C124)</f>
        <v>-176990</v>
      </c>
      <c r="D126" s="298">
        <v>-191800</v>
      </c>
      <c r="E126" s="299">
        <f>SUM(E97:E124)</f>
        <v>-158260.68</v>
      </c>
      <c r="F126" s="255">
        <f t="shared" ref="F126" si="9">-(D126-E126)</f>
        <v>33539.320000000007</v>
      </c>
      <c r="G126" s="240"/>
      <c r="H126" s="245">
        <v>-166400.95000000001</v>
      </c>
      <c r="I126" s="300">
        <f t="shared" ref="I126" si="10">SUM(I100:I124)</f>
        <v>-118332.10999999999</v>
      </c>
      <c r="J126" s="189">
        <v>-171587.73000000004</v>
      </c>
      <c r="K126" s="292">
        <f>SUM(K100:K124)</f>
        <v>-164148.20000000001</v>
      </c>
      <c r="L126" s="189">
        <f t="shared" ref="L126:Q126" si="11">SUM(L100:L124)</f>
        <v>-275091.28999999998</v>
      </c>
      <c r="M126" s="189">
        <f t="shared" si="11"/>
        <v>-281141.02</v>
      </c>
      <c r="N126" s="189">
        <f t="shared" si="11"/>
        <v>-74214.789999999994</v>
      </c>
      <c r="O126" s="170">
        <f t="shared" si="11"/>
        <v>-120809.04000000001</v>
      </c>
      <c r="P126" s="109">
        <f t="shared" si="11"/>
        <v>-182207</v>
      </c>
      <c r="Q126" s="119">
        <f t="shared" si="11"/>
        <v>-185684.5</v>
      </c>
    </row>
    <row r="127" spans="1:17" s="1" customFormat="1" ht="15.75" thickBot="1" x14ac:dyDescent="0.3">
      <c r="A127" s="80"/>
      <c r="B127" s="81"/>
      <c r="C127" s="206"/>
      <c r="D127" s="286"/>
      <c r="E127" s="269"/>
      <c r="F127" s="243"/>
      <c r="G127" s="243"/>
      <c r="H127" s="243"/>
      <c r="I127" s="295"/>
      <c r="J127" s="197"/>
      <c r="K127" s="295"/>
      <c r="L127" s="197"/>
      <c r="M127" s="197"/>
      <c r="N127" s="197"/>
      <c r="O127" s="172"/>
      <c r="P127" s="158"/>
      <c r="Q127" s="130"/>
    </row>
    <row r="128" spans="1:17" x14ac:dyDescent="0.25">
      <c r="A128" s="19"/>
      <c r="B128" s="20"/>
      <c r="C128" s="205"/>
      <c r="D128" s="282"/>
      <c r="E128" s="266"/>
      <c r="F128" s="241"/>
      <c r="G128" s="241"/>
      <c r="H128" s="241"/>
      <c r="I128" s="293"/>
      <c r="J128" s="190"/>
      <c r="K128" s="293"/>
      <c r="L128" s="190"/>
      <c r="M128" s="190"/>
      <c r="N128" s="190"/>
      <c r="O128" s="168"/>
      <c r="P128" s="155"/>
      <c r="Q128" s="131"/>
    </row>
    <row r="129" spans="1:69" x14ac:dyDescent="0.25">
      <c r="A129" s="22" t="str">
        <f>"Personalkostnader"</f>
        <v>Personalkostnader</v>
      </c>
      <c r="B129" s="6"/>
      <c r="C129" s="203"/>
      <c r="D129" s="278"/>
      <c r="E129" s="263"/>
      <c r="F129" s="239"/>
      <c r="G129" s="239"/>
      <c r="H129" s="239"/>
      <c r="I129" s="290"/>
      <c r="J129" s="188"/>
      <c r="K129" s="290"/>
      <c r="L129" s="188"/>
      <c r="M129" s="188"/>
      <c r="N129" s="188"/>
      <c r="O129" s="6"/>
      <c r="P129" s="153"/>
      <c r="Q129" s="127"/>
    </row>
    <row r="130" spans="1:69" x14ac:dyDescent="0.25">
      <c r="A130" s="24" t="s">
        <v>193</v>
      </c>
      <c r="B130" s="6" t="s">
        <v>194</v>
      </c>
      <c r="C130" s="203"/>
      <c r="D130" s="278"/>
      <c r="E130" s="263">
        <v>-16000</v>
      </c>
      <c r="F130" s="239"/>
      <c r="G130" s="239"/>
      <c r="H130" s="239"/>
      <c r="I130" s="290"/>
      <c r="J130" s="188"/>
      <c r="K130" s="290"/>
      <c r="L130" s="188"/>
      <c r="M130" s="188"/>
      <c r="N130" s="188"/>
      <c r="O130" s="6"/>
      <c r="P130" s="153"/>
      <c r="Q130" s="127"/>
    </row>
    <row r="131" spans="1:69" x14ac:dyDescent="0.25">
      <c r="A131" s="24" t="s">
        <v>57</v>
      </c>
      <c r="B131" s="5" t="s">
        <v>195</v>
      </c>
      <c r="C131" s="210">
        <v>0</v>
      </c>
      <c r="D131" s="279">
        <v>-2000</v>
      </c>
      <c r="E131" s="263">
        <v>-6774</v>
      </c>
      <c r="F131" s="255">
        <f>-(D131-E131)</f>
        <v>-4774</v>
      </c>
      <c r="G131" s="239"/>
      <c r="H131" s="239">
        <v>-1388.16</v>
      </c>
      <c r="I131" s="290"/>
      <c r="J131" s="188">
        <v>0</v>
      </c>
      <c r="K131" s="290">
        <v>0</v>
      </c>
      <c r="L131" s="188">
        <v>-1600</v>
      </c>
      <c r="M131" s="188">
        <v>-1500</v>
      </c>
      <c r="N131" s="188">
        <v>-4050</v>
      </c>
      <c r="O131" s="171">
        <v>-600</v>
      </c>
      <c r="P131" s="153">
        <v>-900</v>
      </c>
      <c r="Q131" s="127">
        <v>-2200</v>
      </c>
    </row>
    <row r="132" spans="1:69" x14ac:dyDescent="0.25">
      <c r="A132" s="24" t="s">
        <v>196</v>
      </c>
      <c r="B132" s="5" t="s">
        <v>197</v>
      </c>
      <c r="C132" s="210"/>
      <c r="D132" s="279"/>
      <c r="E132" s="263">
        <v>-1600</v>
      </c>
      <c r="F132" s="255"/>
      <c r="G132" s="239"/>
      <c r="H132" s="239"/>
      <c r="I132" s="290"/>
      <c r="J132" s="188"/>
      <c r="K132" s="290"/>
      <c r="L132" s="188"/>
      <c r="M132" s="188"/>
      <c r="N132" s="188"/>
      <c r="O132" s="171"/>
      <c r="P132" s="153"/>
      <c r="Q132" s="127"/>
    </row>
    <row r="133" spans="1:69" x14ac:dyDescent="0.25">
      <c r="A133" s="24" t="str">
        <f>"7210"</f>
        <v>7210</v>
      </c>
      <c r="B133" s="5" t="str">
        <f>"Resekostnads ersättning"</f>
        <v>Resekostnads ersättning</v>
      </c>
      <c r="C133" s="210"/>
      <c r="D133" s="279">
        <v>-2000</v>
      </c>
      <c r="E133" s="263">
        <v>0</v>
      </c>
      <c r="F133" s="239">
        <f>-(D133-E133)</f>
        <v>2000</v>
      </c>
      <c r="G133" s="239"/>
      <c r="H133" s="239">
        <v>-1880</v>
      </c>
      <c r="I133" s="290">
        <v>-2154</v>
      </c>
      <c r="J133" s="188">
        <v>-2154</v>
      </c>
      <c r="K133" s="290">
        <v>-1365</v>
      </c>
      <c r="L133" s="188">
        <v>-6146.89</v>
      </c>
      <c r="M133" s="188">
        <v>-2673</v>
      </c>
      <c r="N133" s="188">
        <v>-851</v>
      </c>
      <c r="O133" s="171">
        <v>-610</v>
      </c>
      <c r="P133" s="153">
        <v>-6961</v>
      </c>
      <c r="Q133" s="127">
        <v>-6040</v>
      </c>
    </row>
    <row r="134" spans="1:69" x14ac:dyDescent="0.25">
      <c r="A134" s="24" t="str">
        <f>"7610"</f>
        <v>7610</v>
      </c>
      <c r="B134" s="5" t="str">
        <f>"Utbildning"</f>
        <v>Utbildning</v>
      </c>
      <c r="C134" s="210">
        <v>-10000</v>
      </c>
      <c r="D134" s="279">
        <v>-5000</v>
      </c>
      <c r="E134" s="263">
        <v>-12300</v>
      </c>
      <c r="F134" s="255">
        <f>-(D134-E134)</f>
        <v>-7300</v>
      </c>
      <c r="G134" s="239"/>
      <c r="H134" s="239">
        <v>-4500</v>
      </c>
      <c r="I134" s="290">
        <v>-3000</v>
      </c>
      <c r="J134" s="188">
        <v>-16500</v>
      </c>
      <c r="K134" s="290">
        <v>-6703.5</v>
      </c>
      <c r="L134" s="188">
        <v>0</v>
      </c>
      <c r="M134" s="188">
        <v>-13629</v>
      </c>
      <c r="N134" s="188">
        <v>-7796</v>
      </c>
      <c r="O134" s="171"/>
      <c r="P134" s="153">
        <v>-11671</v>
      </c>
      <c r="Q134" s="127">
        <v>-18925</v>
      </c>
    </row>
    <row r="135" spans="1:69" x14ac:dyDescent="0.25">
      <c r="A135" s="26"/>
      <c r="B135" s="6" t="s">
        <v>37</v>
      </c>
      <c r="C135" s="210"/>
      <c r="D135" s="279"/>
      <c r="E135" s="263"/>
      <c r="F135" s="255"/>
      <c r="G135" s="239"/>
      <c r="H135" s="239"/>
      <c r="I135" s="290"/>
      <c r="J135" s="188"/>
      <c r="K135" s="290"/>
      <c r="L135" s="188"/>
      <c r="M135" s="188"/>
      <c r="N135" s="188"/>
      <c r="O135" s="6"/>
      <c r="P135" s="153"/>
      <c r="Q135" s="127"/>
    </row>
    <row r="136" spans="1:69" s="1" customFormat="1" ht="15.75" thickBot="1" x14ac:dyDescent="0.3">
      <c r="A136" s="27" t="str">
        <f>"S:a Personalkostnader"</f>
        <v>S:a Personalkostnader</v>
      </c>
      <c r="B136" s="14"/>
      <c r="C136" s="212">
        <f>SUM(C131:C134)</f>
        <v>-10000</v>
      </c>
      <c r="D136" s="283">
        <v>-9000</v>
      </c>
      <c r="E136" s="265">
        <f>SUM(E131:E134)</f>
        <v>-20674</v>
      </c>
      <c r="F136" s="292">
        <f t="shared" ref="F136" si="12">-(D136-E136)</f>
        <v>-11674</v>
      </c>
      <c r="G136" s="240"/>
      <c r="H136" s="240">
        <v>-7768.16</v>
      </c>
      <c r="I136" s="292">
        <f>SUM(I131:I134)</f>
        <v>-5154</v>
      </c>
      <c r="J136" s="189">
        <v>-18654</v>
      </c>
      <c r="K136" s="292">
        <f>SUM(K131:K134)</f>
        <v>-8068.5</v>
      </c>
      <c r="L136" s="189">
        <f t="shared" ref="L136:Q136" si="13">SUM(L131:L134)</f>
        <v>-7746.89</v>
      </c>
      <c r="M136" s="189">
        <f t="shared" si="13"/>
        <v>-17802</v>
      </c>
      <c r="N136" s="189">
        <f t="shared" si="13"/>
        <v>-12697</v>
      </c>
      <c r="O136" s="170">
        <f t="shared" si="13"/>
        <v>-1210</v>
      </c>
      <c r="P136" s="154">
        <f t="shared" si="13"/>
        <v>-19532</v>
      </c>
      <c r="Q136" s="119">
        <f t="shared" si="13"/>
        <v>-27165</v>
      </c>
    </row>
    <row r="137" spans="1:69" x14ac:dyDescent="0.25">
      <c r="A137" s="19"/>
      <c r="B137" s="20"/>
      <c r="C137" s="205"/>
      <c r="D137" s="282"/>
      <c r="E137" s="266"/>
      <c r="F137" s="241"/>
      <c r="G137" s="241"/>
      <c r="H137" s="241"/>
      <c r="I137" s="293"/>
      <c r="J137" s="190"/>
      <c r="K137" s="293"/>
      <c r="L137" s="190"/>
      <c r="M137" s="190"/>
      <c r="N137" s="190"/>
      <c r="O137" s="168"/>
      <c r="P137" s="155"/>
      <c r="Q137" s="131"/>
    </row>
    <row r="138" spans="1:69" x14ac:dyDescent="0.25">
      <c r="A138" s="26"/>
      <c r="B138" s="6"/>
      <c r="C138" s="203"/>
      <c r="D138" s="278"/>
      <c r="E138" s="263"/>
      <c r="F138" s="239"/>
      <c r="G138" s="239"/>
      <c r="H138" s="239"/>
      <c r="I138" s="290"/>
      <c r="J138" s="188"/>
      <c r="K138" s="290"/>
      <c r="L138" s="188"/>
      <c r="M138" s="188"/>
      <c r="N138" s="188"/>
      <c r="O138" s="6"/>
      <c r="P138" s="153"/>
      <c r="Q138" s="127"/>
    </row>
    <row r="139" spans="1:69" s="2" customFormat="1" ht="15.75" thickBot="1" x14ac:dyDescent="0.3">
      <c r="A139" s="32" t="str">
        <f>"S:a Rörelsens kostnader inkl råvaror mm"</f>
        <v>S:a Rörelsens kostnader inkl råvaror mm</v>
      </c>
      <c r="B139" s="33"/>
      <c r="C139" s="147">
        <f>SUM(C90+C126+C136)</f>
        <v>-626990</v>
      </c>
      <c r="D139" s="147">
        <v>-630800</v>
      </c>
      <c r="E139" s="242">
        <f>E90+E126+E136</f>
        <v>-892968.02</v>
      </c>
      <c r="F139" s="242"/>
      <c r="G139" s="242"/>
      <c r="H139" s="242">
        <v>-705580.09</v>
      </c>
      <c r="I139" s="163">
        <f>I90+I126+I136</f>
        <v>-415089.44</v>
      </c>
      <c r="J139" s="163">
        <v>-384799.69000000006</v>
      </c>
      <c r="K139" s="163">
        <f>K90+K126+K136</f>
        <v>-686874.89999999991</v>
      </c>
      <c r="L139" s="163">
        <f>L90+L126+L136</f>
        <v>-725624.53999999992</v>
      </c>
      <c r="M139" s="163">
        <f>M90+M126+M136</f>
        <v>-607615.47</v>
      </c>
      <c r="N139" s="163">
        <f>N90+N126+N136</f>
        <v>-437772.44</v>
      </c>
      <c r="O139" s="149">
        <f>O90+O136+O126</f>
        <v>-408752.87</v>
      </c>
      <c r="P139" s="110">
        <f>P90+P136+P126</f>
        <v>-487742.48</v>
      </c>
      <c r="Q139" s="111">
        <f>Q90+Q126+Q136</f>
        <v>-471937.5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1:69" s="2" customFormat="1" x14ac:dyDescent="0.25">
      <c r="A140" s="51"/>
      <c r="B140" s="17"/>
      <c r="C140" s="207"/>
      <c r="D140" s="287"/>
      <c r="E140" s="270"/>
      <c r="F140" s="244"/>
      <c r="G140" s="244"/>
      <c r="H140" s="244"/>
      <c r="I140" s="296"/>
      <c r="J140" s="191"/>
      <c r="K140" s="296"/>
      <c r="L140" s="191"/>
      <c r="M140" s="191"/>
      <c r="N140" s="191"/>
      <c r="O140" s="81"/>
      <c r="P140" s="156"/>
      <c r="Q140" s="132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1:69" s="2" customFormat="1" x14ac:dyDescent="0.25">
      <c r="A141" s="51" t="s">
        <v>59</v>
      </c>
      <c r="B141" s="17" t="s">
        <v>60</v>
      </c>
      <c r="C141" s="208">
        <v>2000</v>
      </c>
      <c r="D141" s="288">
        <v>500</v>
      </c>
      <c r="E141" s="271">
        <v>5247.04</v>
      </c>
      <c r="F141" s="245"/>
      <c r="G141" s="245"/>
      <c r="H141" s="245">
        <v>552.54999999999995</v>
      </c>
      <c r="I141" s="297"/>
      <c r="J141" s="198"/>
      <c r="K141" s="297"/>
      <c r="L141" s="198"/>
      <c r="M141" s="198"/>
      <c r="N141" s="198"/>
      <c r="O141" s="17">
        <v>118.94</v>
      </c>
      <c r="P141" s="157">
        <v>7419</v>
      </c>
      <c r="Q141" s="132">
        <v>708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1:69" x14ac:dyDescent="0.25">
      <c r="A142" s="26"/>
      <c r="B142" s="6"/>
      <c r="C142" s="203"/>
      <c r="D142" s="278"/>
      <c r="E142" s="263"/>
      <c r="F142" s="239"/>
      <c r="G142" s="239"/>
      <c r="H142" s="239"/>
      <c r="I142" s="290"/>
      <c r="J142" s="188"/>
      <c r="K142" s="290"/>
      <c r="L142" s="188"/>
      <c r="M142" s="188"/>
      <c r="N142" s="188"/>
      <c r="O142" s="6"/>
      <c r="P142" s="153"/>
      <c r="Q142" s="127"/>
    </row>
    <row r="143" spans="1:69" s="3" customFormat="1" x14ac:dyDescent="0.25">
      <c r="A143" s="113" t="str">
        <f>"Beräknat resultat"</f>
        <v>Beräknat resultat</v>
      </c>
      <c r="B143" s="114"/>
      <c r="C143" s="150">
        <f>C58+C139+C141</f>
        <v>2610</v>
      </c>
      <c r="D143" s="150">
        <v>3200</v>
      </c>
      <c r="E143" s="150">
        <f>E58+E139+E141</f>
        <v>30650.29</v>
      </c>
      <c r="F143" s="164">
        <f>-(D143-E143)</f>
        <v>27450.29</v>
      </c>
      <c r="G143" s="246"/>
      <c r="H143" s="246">
        <v>-55164.2</v>
      </c>
      <c r="I143" s="164">
        <f>I58+I139+I141</f>
        <v>127696.61000000004</v>
      </c>
      <c r="J143" s="164">
        <v>135543.5799999999</v>
      </c>
      <c r="K143" s="164">
        <f>K58+K139+K141</f>
        <v>16136.70000000007</v>
      </c>
      <c r="L143" s="164">
        <f t="shared" ref="L143:Q143" si="14">L58+L139+L141</f>
        <v>-200525.78999999992</v>
      </c>
      <c r="M143" s="164">
        <f t="shared" si="14"/>
        <v>-30377.719999999972</v>
      </c>
      <c r="N143" s="164">
        <f t="shared" si="14"/>
        <v>37955.56</v>
      </c>
      <c r="O143" s="150">
        <f t="shared" si="14"/>
        <v>25598.40000000002</v>
      </c>
      <c r="P143" s="115">
        <f t="shared" si="14"/>
        <v>72132.520000000019</v>
      </c>
      <c r="Q143" s="116">
        <f t="shared" si="14"/>
        <v>-59346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1:69" ht="15.75" thickBot="1" x14ac:dyDescent="0.3">
      <c r="A144" s="37"/>
      <c r="B144" s="15"/>
      <c r="C144" s="15"/>
      <c r="D144" s="15"/>
      <c r="E144" s="15"/>
      <c r="F144" s="247"/>
      <c r="G144" s="247"/>
      <c r="H144" s="247"/>
      <c r="I144" s="15"/>
      <c r="J144" s="15"/>
      <c r="K144" s="15"/>
      <c r="L144" s="15"/>
      <c r="M144" s="15"/>
      <c r="N144" s="15"/>
      <c r="O144" s="15"/>
      <c r="P144" s="109"/>
      <c r="Q144" s="15"/>
    </row>
    <row r="145" spans="5:9" x14ac:dyDescent="0.25">
      <c r="E145" t="s">
        <v>180</v>
      </c>
      <c r="I145" t="s">
        <v>180</v>
      </c>
    </row>
    <row r="146" spans="5:9" x14ac:dyDescent="0.25">
      <c r="E146" t="s">
        <v>181</v>
      </c>
      <c r="I146" t="s">
        <v>181</v>
      </c>
    </row>
    <row r="147" spans="5:9" x14ac:dyDescent="0.25">
      <c r="E147"/>
    </row>
    <row r="148" spans="5:9" x14ac:dyDescent="0.25">
      <c r="E148"/>
    </row>
    <row r="149" spans="5:9" x14ac:dyDescent="0.25">
      <c r="E149"/>
    </row>
    <row r="150" spans="5:9" x14ac:dyDescent="0.25">
      <c r="E150"/>
    </row>
    <row r="151" spans="5:9" x14ac:dyDescent="0.25">
      <c r="E151"/>
    </row>
    <row r="152" spans="5:9" x14ac:dyDescent="0.25">
      <c r="E152"/>
    </row>
    <row r="153" spans="5:9" x14ac:dyDescent="0.25">
      <c r="E153"/>
    </row>
    <row r="154" spans="5:9" x14ac:dyDescent="0.25">
      <c r="E154"/>
    </row>
    <row r="155" spans="5:9" x14ac:dyDescent="0.25">
      <c r="E155"/>
    </row>
    <row r="156" spans="5:9" x14ac:dyDescent="0.25">
      <c r="E156"/>
    </row>
    <row r="157" spans="5:9" x14ac:dyDescent="0.25">
      <c r="E157"/>
    </row>
    <row r="158" spans="5:9" x14ac:dyDescent="0.25">
      <c r="E158"/>
    </row>
    <row r="159" spans="5:9" x14ac:dyDescent="0.25">
      <c r="E159"/>
    </row>
    <row r="160" spans="5:9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</sheetData>
  <pageMargins left="0.7" right="0.7" top="0.75" bottom="0.75" header="0.3" footer="0.3"/>
  <pageSetup orientation="portrait" r:id="rId1"/>
  <headerFooter>
    <oddHeader>&amp;C&amp;"Calibri"&amp;10&amp;K008000 Zeppelin: Confidential GREEN&amp;1#_x000D_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CA75-8B8F-4B1F-B408-9BFDDCC48164}">
  <dimension ref="A1:BR178"/>
  <sheetViews>
    <sheetView topLeftCell="A3" zoomScale="152" zoomScaleNormal="145" workbookViewId="0">
      <selection activeCell="A3" sqref="A1:XFD1048576"/>
    </sheetView>
  </sheetViews>
  <sheetFormatPr defaultRowHeight="15" x14ac:dyDescent="0.25"/>
  <cols>
    <col min="1" max="1" width="12.28515625" customWidth="1"/>
    <col min="2" max="2" width="31.42578125" bestFit="1" customWidth="1"/>
    <col min="3" max="4" width="14.5703125" bestFit="1" customWidth="1"/>
    <col min="5" max="5" width="15.7109375" style="272" customWidth="1"/>
    <col min="6" max="6" width="14.42578125" style="248" bestFit="1" customWidth="1"/>
    <col min="7" max="7" width="4.5703125" style="248" customWidth="1"/>
    <col min="8" max="8" width="15.7109375" style="272" customWidth="1"/>
    <col min="9" max="9" width="15.42578125" style="248" customWidth="1"/>
    <col min="10" max="10" width="15.7109375" customWidth="1"/>
    <col min="11" max="11" width="14.5703125" bestFit="1" customWidth="1"/>
    <col min="12" max="15" width="15.7109375" customWidth="1"/>
    <col min="16" max="17" width="14.28515625" customWidth="1"/>
    <col min="18" max="18" width="13.7109375" style="4" customWidth="1"/>
    <col min="19" max="19" width="20.7109375" bestFit="1" customWidth="1"/>
    <col min="20" max="20" width="16" customWidth="1"/>
    <col min="21" max="21" width="12.7109375" customWidth="1"/>
    <col min="22" max="22" width="32.7109375" bestFit="1" customWidth="1"/>
    <col min="23" max="23" width="11.7109375" bestFit="1" customWidth="1"/>
  </cols>
  <sheetData>
    <row r="1" spans="1:18" hidden="1" x14ac:dyDescent="0.25">
      <c r="A1" s="9"/>
      <c r="C1" s="47"/>
      <c r="D1" s="47"/>
      <c r="E1" s="257"/>
      <c r="F1" s="233"/>
      <c r="G1" s="233"/>
      <c r="H1" s="257"/>
      <c r="I1" s="233"/>
      <c r="J1" s="194"/>
      <c r="K1" s="194"/>
      <c r="L1" s="194"/>
      <c r="M1" s="194"/>
      <c r="N1" s="194"/>
      <c r="O1" s="194"/>
      <c r="P1" s="47"/>
      <c r="Q1" s="47"/>
      <c r="R1" s="10"/>
    </row>
    <row r="2" spans="1:18" hidden="1" x14ac:dyDescent="0.25">
      <c r="A2" s="9"/>
      <c r="B2" s="87"/>
      <c r="C2" s="87"/>
      <c r="D2" s="87"/>
      <c r="E2" s="258"/>
      <c r="F2" s="234"/>
      <c r="G2" s="234"/>
      <c r="H2" s="258"/>
      <c r="I2" s="234"/>
      <c r="J2" s="195"/>
      <c r="K2" s="195"/>
      <c r="L2" s="195"/>
      <c r="M2" s="195"/>
      <c r="N2" s="195"/>
      <c r="O2" s="195"/>
      <c r="P2" s="87"/>
      <c r="Q2" s="7"/>
      <c r="R2" s="10"/>
    </row>
    <row r="3" spans="1:18" x14ac:dyDescent="0.25">
      <c r="A3" s="6"/>
      <c r="B3" s="47" t="s">
        <v>0</v>
      </c>
      <c r="C3" s="200">
        <v>2025</v>
      </c>
      <c r="D3" s="200">
        <v>2024</v>
      </c>
      <c r="E3" s="259">
        <v>2024</v>
      </c>
      <c r="F3" s="235"/>
      <c r="G3" s="235"/>
      <c r="H3" s="259">
        <v>2023</v>
      </c>
      <c r="I3" s="235">
        <v>2022</v>
      </c>
      <c r="J3" s="58">
        <v>2021</v>
      </c>
      <c r="K3" s="58">
        <v>2020</v>
      </c>
      <c r="L3" s="58">
        <v>2019</v>
      </c>
      <c r="M3" s="58">
        <v>2018</v>
      </c>
      <c r="N3" s="58">
        <v>2017</v>
      </c>
      <c r="O3" s="58">
        <v>2016</v>
      </c>
      <c r="P3" s="58">
        <v>2015</v>
      </c>
      <c r="Q3" s="58">
        <v>2014</v>
      </c>
      <c r="R3" s="121">
        <v>2013</v>
      </c>
    </row>
    <row r="4" spans="1:18" x14ac:dyDescent="0.25">
      <c r="A4" s="16"/>
      <c r="B4" s="16"/>
      <c r="C4" s="201" t="s">
        <v>4</v>
      </c>
      <c r="D4" s="201" t="s">
        <v>4</v>
      </c>
      <c r="E4" s="260" t="s">
        <v>5</v>
      </c>
      <c r="F4" s="236" t="s">
        <v>129</v>
      </c>
      <c r="G4" s="236"/>
      <c r="H4" s="260" t="s">
        <v>5</v>
      </c>
      <c r="I4" s="236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59" t="s">
        <v>5</v>
      </c>
      <c r="O4" s="59" t="s">
        <v>5</v>
      </c>
      <c r="P4" s="59" t="s">
        <v>5</v>
      </c>
      <c r="Q4" s="59" t="s">
        <v>5</v>
      </c>
      <c r="R4" s="122" t="s">
        <v>5</v>
      </c>
    </row>
    <row r="5" spans="1:18" x14ac:dyDescent="0.25">
      <c r="A5" s="19"/>
      <c r="B5" s="20"/>
      <c r="C5" s="202"/>
      <c r="D5" s="202"/>
      <c r="E5" s="261"/>
      <c r="F5" s="237" t="s">
        <v>149</v>
      </c>
      <c r="G5" s="237"/>
      <c r="H5" s="261"/>
      <c r="I5" s="237"/>
      <c r="J5" s="20"/>
      <c r="K5" s="20"/>
      <c r="L5" s="20"/>
      <c r="M5" s="20"/>
      <c r="N5" s="20"/>
      <c r="O5" s="20"/>
      <c r="P5" s="20"/>
      <c r="Q5" s="20"/>
      <c r="R5" s="123"/>
    </row>
    <row r="6" spans="1:18" x14ac:dyDescent="0.25">
      <c r="A6" s="22" t="str">
        <f>"Rörelsens intäkter och lagerförändring"</f>
        <v>Rörelsens intäkter och lagerförändring</v>
      </c>
      <c r="B6" s="6"/>
      <c r="C6" s="203"/>
      <c r="D6" s="203"/>
      <c r="E6" s="262"/>
      <c r="F6" s="238"/>
      <c r="G6" s="238"/>
      <c r="H6" s="262"/>
      <c r="I6" s="238"/>
      <c r="J6" s="6"/>
      <c r="K6" s="6"/>
      <c r="L6" s="6"/>
      <c r="M6" s="6"/>
      <c r="N6" s="6"/>
      <c r="O6" s="6"/>
      <c r="P6" s="6"/>
      <c r="Q6" s="6"/>
      <c r="R6" s="124"/>
    </row>
    <row r="7" spans="1:18" x14ac:dyDescent="0.25">
      <c r="A7" s="22" t="str">
        <f>"Nettoomsättning"</f>
        <v>Nettoomsättning</v>
      </c>
      <c r="B7" s="6"/>
      <c r="C7" s="203"/>
      <c r="D7" s="203"/>
      <c r="E7" s="262"/>
      <c r="F7" s="238"/>
      <c r="G7" s="238"/>
      <c r="H7" s="262"/>
      <c r="I7" s="238"/>
      <c r="J7" s="6"/>
      <c r="K7" s="6"/>
      <c r="L7" s="6"/>
      <c r="M7" s="6"/>
      <c r="N7" s="6"/>
      <c r="O7" s="6"/>
      <c r="P7" s="6"/>
      <c r="Q7" s="6"/>
      <c r="R7" s="124"/>
    </row>
    <row r="8" spans="1:18" x14ac:dyDescent="0.25">
      <c r="A8" s="186" t="str">
        <f>"3110"</f>
        <v>3110</v>
      </c>
      <c r="B8" s="5" t="str">
        <f>"Medlemsavgifter"</f>
        <v>Medlemsavgifter</v>
      </c>
      <c r="C8" s="210">
        <v>35000</v>
      </c>
      <c r="D8" s="210">
        <v>36600</v>
      </c>
      <c r="E8" s="263">
        <v>31000</v>
      </c>
      <c r="F8" s="239">
        <f>-(D8-E8)</f>
        <v>-5600</v>
      </c>
      <c r="G8" s="239"/>
      <c r="H8" s="263">
        <v>21200</v>
      </c>
      <c r="I8" s="239">
        <v>26600</v>
      </c>
      <c r="J8" s="290">
        <v>21800</v>
      </c>
      <c r="K8" s="188">
        <v>24600</v>
      </c>
      <c r="L8" s="290">
        <v>88115</v>
      </c>
      <c r="M8" s="188">
        <v>83200</v>
      </c>
      <c r="N8" s="188">
        <v>95550</v>
      </c>
      <c r="O8" s="188">
        <v>94050</v>
      </c>
      <c r="P8" s="165">
        <v>92225</v>
      </c>
      <c r="Q8" s="153">
        <v>91000</v>
      </c>
      <c r="R8" s="125">
        <v>83650</v>
      </c>
    </row>
    <row r="9" spans="1:18" x14ac:dyDescent="0.25">
      <c r="A9" s="186" t="s">
        <v>155</v>
      </c>
      <c r="B9" s="5" t="s">
        <v>156</v>
      </c>
      <c r="C9" s="210">
        <v>61000</v>
      </c>
      <c r="D9" s="210">
        <v>65000</v>
      </c>
      <c r="E9" s="263">
        <v>60800</v>
      </c>
      <c r="F9" s="239">
        <f>-(D9-E9)</f>
        <v>-4200</v>
      </c>
      <c r="G9" s="239"/>
      <c r="H9" s="263">
        <v>50100</v>
      </c>
      <c r="I9" s="239">
        <v>54500</v>
      </c>
      <c r="J9" s="290">
        <v>53500</v>
      </c>
      <c r="K9" s="188">
        <v>50300</v>
      </c>
      <c r="L9" s="290"/>
      <c r="M9" s="188"/>
      <c r="N9" s="188"/>
      <c r="O9" s="188"/>
      <c r="P9" s="165"/>
      <c r="Q9" s="153"/>
      <c r="R9" s="125"/>
    </row>
    <row r="10" spans="1:18" x14ac:dyDescent="0.25">
      <c r="A10" s="186" t="str">
        <f>"3120"</f>
        <v>3120</v>
      </c>
      <c r="B10" s="5" t="str">
        <f>"Intäkter kanothyra"</f>
        <v>Intäkter kanothyra</v>
      </c>
      <c r="C10" s="210">
        <v>8000</v>
      </c>
      <c r="D10" s="210">
        <v>11000</v>
      </c>
      <c r="E10" s="263">
        <v>5450</v>
      </c>
      <c r="F10" s="239">
        <f t="shared" ref="F10:F33" si="0">-(D10-E10)</f>
        <v>-5550</v>
      </c>
      <c r="G10" s="239"/>
      <c r="H10" s="263">
        <v>10450</v>
      </c>
      <c r="I10" s="239">
        <v>13200</v>
      </c>
      <c r="J10" s="290">
        <v>8900</v>
      </c>
      <c r="K10" s="188">
        <v>11050</v>
      </c>
      <c r="L10" s="290">
        <v>20000</v>
      </c>
      <c r="M10" s="188">
        <v>14605</v>
      </c>
      <c r="N10" s="188">
        <v>24825</v>
      </c>
      <c r="O10" s="188">
        <v>15440</v>
      </c>
      <c r="P10" s="165">
        <v>13125</v>
      </c>
      <c r="Q10" s="153">
        <v>17450</v>
      </c>
      <c r="R10" s="125">
        <v>13450</v>
      </c>
    </row>
    <row r="11" spans="1:18" x14ac:dyDescent="0.25">
      <c r="A11" s="186" t="str">
        <f>"3130"</f>
        <v>3130</v>
      </c>
      <c r="B11" s="5" t="str">
        <f>"Intäkter kanotplats"</f>
        <v>Intäkter kanotplats</v>
      </c>
      <c r="C11" s="210">
        <v>25000</v>
      </c>
      <c r="D11" s="210">
        <v>35000</v>
      </c>
      <c r="E11" s="263">
        <v>19450</v>
      </c>
      <c r="F11" s="239">
        <f t="shared" si="0"/>
        <v>-15550</v>
      </c>
      <c r="G11" s="239"/>
      <c r="H11" s="263">
        <v>19550</v>
      </c>
      <c r="I11" s="239">
        <v>15650</v>
      </c>
      <c r="J11" s="290">
        <v>18300</v>
      </c>
      <c r="K11" s="188">
        <v>20803.59</v>
      </c>
      <c r="L11" s="290">
        <v>19450</v>
      </c>
      <c r="M11" s="188">
        <v>22300</v>
      </c>
      <c r="N11" s="188">
        <v>21800</v>
      </c>
      <c r="O11" s="188">
        <v>24625</v>
      </c>
      <c r="P11" s="165">
        <v>23375</v>
      </c>
      <c r="Q11" s="153">
        <v>17713</v>
      </c>
      <c r="R11" s="125">
        <v>18175</v>
      </c>
    </row>
    <row r="12" spans="1:18" x14ac:dyDescent="0.25">
      <c r="A12" s="186" t="str">
        <f>"3140"</f>
        <v>3140</v>
      </c>
      <c r="B12" s="5" t="s">
        <v>171</v>
      </c>
      <c r="C12" s="210">
        <v>30000</v>
      </c>
      <c r="D12" s="210">
        <v>30000</v>
      </c>
      <c r="E12" s="263">
        <v>28560</v>
      </c>
      <c r="F12" s="239">
        <f t="shared" si="0"/>
        <v>-1440</v>
      </c>
      <c r="G12" s="239"/>
      <c r="H12" s="263">
        <v>11610</v>
      </c>
      <c r="I12" s="239">
        <v>41280</v>
      </c>
      <c r="J12" s="290">
        <v>66520</v>
      </c>
      <c r="K12" s="188">
        <v>61190</v>
      </c>
      <c r="L12" s="290">
        <v>28330</v>
      </c>
      <c r="M12" s="188">
        <v>13980</v>
      </c>
      <c r="N12" s="188">
        <v>19500</v>
      </c>
      <c r="O12" s="188">
        <v>17550</v>
      </c>
      <c r="P12" s="165">
        <v>25525</v>
      </c>
      <c r="Q12" s="153">
        <v>35750</v>
      </c>
      <c r="R12" s="125">
        <v>24535</v>
      </c>
    </row>
    <row r="13" spans="1:18" x14ac:dyDescent="0.25">
      <c r="A13" s="186" t="str">
        <f>"3142"</f>
        <v>3142</v>
      </c>
      <c r="B13" s="5" t="str">
        <f>"Prova-på-paddling"</f>
        <v>Prova-på-paddling</v>
      </c>
      <c r="C13" s="210">
        <v>0</v>
      </c>
      <c r="D13" s="210">
        <v>0</v>
      </c>
      <c r="E13" s="263">
        <v>0</v>
      </c>
      <c r="F13" s="239">
        <f t="shared" si="0"/>
        <v>0</v>
      </c>
      <c r="G13" s="239"/>
      <c r="H13" s="263">
        <v>0</v>
      </c>
      <c r="I13" s="239">
        <v>11850</v>
      </c>
      <c r="J13" s="290">
        <v>1700</v>
      </c>
      <c r="K13" s="188">
        <v>2100</v>
      </c>
      <c r="L13" s="290">
        <v>1300</v>
      </c>
      <c r="M13" s="188">
        <v>0</v>
      </c>
      <c r="N13" s="188">
        <v>10500</v>
      </c>
      <c r="O13" s="188">
        <v>13600</v>
      </c>
      <c r="P13" s="165">
        <v>12400</v>
      </c>
      <c r="Q13" s="153">
        <v>18000</v>
      </c>
      <c r="R13" s="125">
        <v>7200</v>
      </c>
    </row>
    <row r="14" spans="1:18" x14ac:dyDescent="0.25">
      <c r="A14" s="186" t="s">
        <v>6</v>
      </c>
      <c r="B14" s="5" t="s">
        <v>7</v>
      </c>
      <c r="C14" s="210">
        <v>20000</v>
      </c>
      <c r="D14" s="210">
        <v>15000</v>
      </c>
      <c r="E14" s="263">
        <v>31230</v>
      </c>
      <c r="F14" s="239">
        <f t="shared" si="0"/>
        <v>16230</v>
      </c>
      <c r="G14" s="239"/>
      <c r="H14" s="263">
        <v>69774</v>
      </c>
      <c r="I14" s="239">
        <v>30140</v>
      </c>
      <c r="J14" s="290"/>
      <c r="K14" s="188">
        <v>0</v>
      </c>
      <c r="L14" s="290">
        <v>2150</v>
      </c>
      <c r="M14" s="188">
        <v>5100</v>
      </c>
      <c r="N14" s="188">
        <v>4700</v>
      </c>
      <c r="O14" s="188">
        <v>16200</v>
      </c>
      <c r="P14" s="165">
        <v>6000</v>
      </c>
      <c r="Q14" s="153">
        <v>3100</v>
      </c>
      <c r="R14" s="125">
        <v>7600</v>
      </c>
    </row>
    <row r="15" spans="1:18" x14ac:dyDescent="0.25">
      <c r="A15" s="186" t="str">
        <f>"3211"</f>
        <v>3211</v>
      </c>
      <c r="B15" s="5" t="str">
        <f>"Anmälningsavgifter"</f>
        <v>Anmälningsavgifter</v>
      </c>
      <c r="C15" s="210">
        <v>50000</v>
      </c>
      <c r="D15" s="210">
        <v>60000</v>
      </c>
      <c r="E15" s="263">
        <v>48800</v>
      </c>
      <c r="F15" s="255">
        <f t="shared" si="0"/>
        <v>-11200</v>
      </c>
      <c r="G15" s="239"/>
      <c r="H15" s="263">
        <v>27600</v>
      </c>
      <c r="I15" s="239">
        <v>30919</v>
      </c>
      <c r="J15" s="290">
        <v>22800</v>
      </c>
      <c r="K15" s="188">
        <v>14275</v>
      </c>
      <c r="L15" s="290">
        <v>29875</v>
      </c>
      <c r="M15" s="188">
        <v>11980</v>
      </c>
      <c r="N15" s="188">
        <v>7425</v>
      </c>
      <c r="O15" s="188">
        <v>7800</v>
      </c>
      <c r="P15" s="165">
        <v>6400</v>
      </c>
      <c r="Q15" s="153">
        <v>12000</v>
      </c>
      <c r="R15" s="125">
        <v>13120</v>
      </c>
    </row>
    <row r="16" spans="1:18" x14ac:dyDescent="0.25">
      <c r="A16" s="186" t="str">
        <f>"3212"</f>
        <v>3212</v>
      </c>
      <c r="B16" s="5" t="str">
        <f>"Transportavgift"</f>
        <v>Transportavgift</v>
      </c>
      <c r="C16" s="210"/>
      <c r="D16" s="210"/>
      <c r="E16" s="263"/>
      <c r="F16" s="239">
        <f t="shared" si="0"/>
        <v>0</v>
      </c>
      <c r="G16" s="239"/>
      <c r="H16" s="263"/>
      <c r="I16" s="239"/>
      <c r="J16" s="290"/>
      <c r="K16" s="188"/>
      <c r="L16" s="290"/>
      <c r="M16" s="188"/>
      <c r="N16" s="188"/>
      <c r="O16" s="188"/>
      <c r="P16" s="165">
        <v>400</v>
      </c>
      <c r="Q16" s="153">
        <v>100</v>
      </c>
      <c r="R16" s="125">
        <v>1800</v>
      </c>
    </row>
    <row r="17" spans="1:21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60000</v>
      </c>
      <c r="D17" s="210">
        <v>45000</v>
      </c>
      <c r="E17" s="263">
        <v>57665</v>
      </c>
      <c r="F17" s="255">
        <f t="shared" si="0"/>
        <v>12665</v>
      </c>
      <c r="G17" s="239"/>
      <c r="H17" s="263">
        <v>45085</v>
      </c>
      <c r="I17" s="239">
        <v>44240</v>
      </c>
      <c r="J17" s="290">
        <v>34527</v>
      </c>
      <c r="K17" s="188">
        <v>7070</v>
      </c>
      <c r="L17" s="290">
        <v>42320</v>
      </c>
      <c r="M17" s="188">
        <v>46140</v>
      </c>
      <c r="N17" s="188">
        <v>10126.75</v>
      </c>
      <c r="O17" s="188">
        <v>7635</v>
      </c>
      <c r="P17" s="165">
        <v>5390</v>
      </c>
      <c r="Q17" s="153">
        <v>12555</v>
      </c>
      <c r="R17" s="125">
        <v>2400</v>
      </c>
    </row>
    <row r="18" spans="1:21" x14ac:dyDescent="0.25">
      <c r="A18" s="186" t="s">
        <v>172</v>
      </c>
      <c r="B18" s="5" t="s">
        <v>173</v>
      </c>
      <c r="C18" s="210">
        <v>10000</v>
      </c>
      <c r="D18" s="210">
        <v>10000</v>
      </c>
      <c r="E18" s="263">
        <v>3450</v>
      </c>
      <c r="F18" s="255">
        <f t="shared" si="0"/>
        <v>-6550</v>
      </c>
      <c r="G18" s="239"/>
      <c r="H18" s="263">
        <v>17550</v>
      </c>
      <c r="I18" s="239">
        <v>0</v>
      </c>
      <c r="J18" s="290">
        <v>3300</v>
      </c>
      <c r="K18" s="188"/>
      <c r="L18" s="290"/>
      <c r="M18" s="188"/>
      <c r="N18" s="188"/>
      <c r="O18" s="188"/>
      <c r="P18" s="165"/>
      <c r="Q18" s="153"/>
      <c r="R18" s="125"/>
    </row>
    <row r="19" spans="1:21" x14ac:dyDescent="0.25">
      <c r="A19" s="186" t="str">
        <f>"3221"</f>
        <v>3221</v>
      </c>
      <c r="B19" s="5" t="s">
        <v>122</v>
      </c>
      <c r="C19" s="210">
        <v>0</v>
      </c>
      <c r="D19" s="210">
        <v>1500</v>
      </c>
      <c r="E19" s="263">
        <v>0</v>
      </c>
      <c r="F19" s="239">
        <f t="shared" si="0"/>
        <v>-1500</v>
      </c>
      <c r="G19" s="239"/>
      <c r="H19" s="263"/>
      <c r="I19" s="239">
        <v>25000</v>
      </c>
      <c r="J19" s="290"/>
      <c r="K19" s="188">
        <v>0</v>
      </c>
      <c r="L19" s="290">
        <v>9750</v>
      </c>
      <c r="M19" s="188">
        <v>2200</v>
      </c>
      <c r="N19" s="188">
        <v>8900</v>
      </c>
      <c r="O19" s="188">
        <v>9850</v>
      </c>
      <c r="P19" s="165">
        <v>8200</v>
      </c>
      <c r="Q19" s="153">
        <v>5450</v>
      </c>
      <c r="R19" s="125">
        <v>1650</v>
      </c>
    </row>
    <row r="20" spans="1:21" x14ac:dyDescent="0.25">
      <c r="A20" s="186" t="s">
        <v>11</v>
      </c>
      <c r="B20" s="5" t="s">
        <v>123</v>
      </c>
      <c r="C20" s="210"/>
      <c r="D20" s="210"/>
      <c r="E20" s="263"/>
      <c r="F20" s="239">
        <f t="shared" si="0"/>
        <v>0</v>
      </c>
      <c r="G20" s="239"/>
      <c r="H20" s="263"/>
      <c r="I20" s="239"/>
      <c r="J20" s="290"/>
      <c r="K20" s="188"/>
      <c r="L20" s="290"/>
      <c r="M20" s="188"/>
      <c r="N20" s="188"/>
      <c r="O20" s="188"/>
      <c r="P20" s="165"/>
      <c r="Q20" s="153"/>
      <c r="R20" s="125"/>
    </row>
    <row r="21" spans="1:21" x14ac:dyDescent="0.25">
      <c r="A21" s="186" t="str">
        <f>"3223"</f>
        <v>3223</v>
      </c>
      <c r="B21" s="5" t="str">
        <f>"Intäkter SM läger"</f>
        <v>Intäkter SM läger</v>
      </c>
      <c r="C21" s="210">
        <v>25000</v>
      </c>
      <c r="D21" s="210">
        <v>25000</v>
      </c>
      <c r="E21" s="263">
        <v>18750</v>
      </c>
      <c r="F21" s="255">
        <f t="shared" si="0"/>
        <v>-6250</v>
      </c>
      <c r="G21" s="239"/>
      <c r="H21" s="263">
        <v>23000</v>
      </c>
      <c r="I21" s="239">
        <v>22000</v>
      </c>
      <c r="J21" s="290"/>
      <c r="K21" s="188">
        <v>0</v>
      </c>
      <c r="L21" s="290">
        <v>46850</v>
      </c>
      <c r="M21" s="188">
        <v>22540</v>
      </c>
      <c r="N21" s="188">
        <v>22500</v>
      </c>
      <c r="O21" s="188">
        <v>17100</v>
      </c>
      <c r="P21" s="165">
        <v>18000</v>
      </c>
      <c r="Q21" s="153">
        <v>7500</v>
      </c>
      <c r="R21" s="125">
        <v>8400</v>
      </c>
    </row>
    <row r="22" spans="1:21" x14ac:dyDescent="0.25">
      <c r="A22" s="186" t="s">
        <v>13</v>
      </c>
      <c r="B22" s="5" t="s">
        <v>157</v>
      </c>
      <c r="C22" s="210"/>
      <c r="D22" s="210"/>
      <c r="E22" s="263"/>
      <c r="F22" s="255">
        <f t="shared" si="0"/>
        <v>0</v>
      </c>
      <c r="G22" s="239"/>
      <c r="H22" s="263"/>
      <c r="I22" s="239">
        <v>0</v>
      </c>
      <c r="J22" s="290">
        <v>0</v>
      </c>
      <c r="K22" s="188">
        <v>0</v>
      </c>
      <c r="L22" s="290">
        <v>60814</v>
      </c>
      <c r="M22" s="188">
        <v>24271</v>
      </c>
      <c r="N22" s="188">
        <v>4052</v>
      </c>
      <c r="O22" s="188"/>
      <c r="P22" s="165">
        <v>5434</v>
      </c>
      <c r="Q22" s="153">
        <v>11030</v>
      </c>
      <c r="R22" s="125">
        <v>13415.5</v>
      </c>
    </row>
    <row r="23" spans="1:21" x14ac:dyDescent="0.25">
      <c r="A23" s="186" t="s">
        <v>130</v>
      </c>
      <c r="B23" s="5" t="s">
        <v>131</v>
      </c>
      <c r="C23" s="210"/>
      <c r="D23" s="210"/>
      <c r="E23" s="263"/>
      <c r="F23" s="255">
        <f t="shared" si="0"/>
        <v>0</v>
      </c>
      <c r="G23" s="239"/>
      <c r="H23" s="263"/>
      <c r="I23" s="239">
        <v>0</v>
      </c>
      <c r="J23" s="290">
        <v>0</v>
      </c>
      <c r="K23" s="188">
        <v>8250</v>
      </c>
      <c r="L23" s="290">
        <v>7247</v>
      </c>
      <c r="M23" s="188">
        <v>7248</v>
      </c>
      <c r="N23" s="188">
        <v>0</v>
      </c>
      <c r="O23" s="188"/>
      <c r="P23" s="165"/>
      <c r="Q23" s="153"/>
      <c r="R23" s="125"/>
    </row>
    <row r="24" spans="1:21" x14ac:dyDescent="0.25">
      <c r="A24" s="186" t="s">
        <v>158</v>
      </c>
      <c r="B24" s="5" t="s">
        <v>159</v>
      </c>
      <c r="C24" s="210">
        <v>22000</v>
      </c>
      <c r="D24" s="210">
        <v>12500</v>
      </c>
      <c r="E24" s="263">
        <v>22218</v>
      </c>
      <c r="F24" s="255">
        <f t="shared" si="0"/>
        <v>9718</v>
      </c>
      <c r="G24" s="239"/>
      <c r="H24" s="263">
        <v>7000</v>
      </c>
      <c r="I24" s="239">
        <v>3250</v>
      </c>
      <c r="J24" s="290">
        <v>0</v>
      </c>
      <c r="K24" s="188">
        <v>12699.5</v>
      </c>
      <c r="L24" s="290"/>
      <c r="M24" s="188"/>
      <c r="N24" s="188"/>
      <c r="O24" s="188"/>
      <c r="P24" s="165"/>
      <c r="Q24" s="153"/>
      <c r="R24" s="125"/>
    </row>
    <row r="25" spans="1:21" x14ac:dyDescent="0.25">
      <c r="A25" s="186" t="str">
        <f>"3310"</f>
        <v>3310</v>
      </c>
      <c r="B25" s="5" t="s">
        <v>160</v>
      </c>
      <c r="C25" s="210">
        <v>2500</v>
      </c>
      <c r="D25" s="210">
        <v>2000</v>
      </c>
      <c r="E25" s="263">
        <v>2426</v>
      </c>
      <c r="F25" s="255">
        <f t="shared" si="0"/>
        <v>426</v>
      </c>
      <c r="G25" s="239"/>
      <c r="H25" s="263">
        <v>1946</v>
      </c>
      <c r="I25" s="239">
        <v>2844</v>
      </c>
      <c r="J25" s="290">
        <v>2759</v>
      </c>
      <c r="K25" s="188">
        <v>3058</v>
      </c>
      <c r="L25" s="290">
        <v>3254</v>
      </c>
      <c r="M25" s="188">
        <v>2694</v>
      </c>
      <c r="N25" s="188">
        <v>3787</v>
      </c>
      <c r="O25" s="188">
        <v>910</v>
      </c>
      <c r="P25" s="165">
        <v>1092</v>
      </c>
      <c r="Q25" s="153">
        <v>3943</v>
      </c>
      <c r="R25" s="125">
        <v>2388</v>
      </c>
    </row>
    <row r="26" spans="1:21" x14ac:dyDescent="0.25">
      <c r="A26" s="186" t="s">
        <v>15</v>
      </c>
      <c r="B26" s="5" t="s">
        <v>16</v>
      </c>
      <c r="C26" s="210"/>
      <c r="D26" s="210"/>
      <c r="E26" s="263"/>
      <c r="F26" s="239">
        <f t="shared" si="0"/>
        <v>0</v>
      </c>
      <c r="G26" s="239"/>
      <c r="H26" s="263"/>
      <c r="I26" s="239"/>
      <c r="J26" s="290"/>
      <c r="K26" s="188"/>
      <c r="L26" s="290"/>
      <c r="M26" s="188"/>
      <c r="N26" s="188"/>
      <c r="O26" s="188"/>
      <c r="P26" s="165"/>
      <c r="Q26" s="153"/>
      <c r="R26" s="125"/>
    </row>
    <row r="27" spans="1:21" x14ac:dyDescent="0.25">
      <c r="A27" s="186" t="str">
        <f>"3420"</f>
        <v>3420</v>
      </c>
      <c r="B27" s="5" t="str">
        <f>"Intäkter Sponsorer"</f>
        <v>Intäkter Sponsorer</v>
      </c>
      <c r="C27" s="210">
        <v>45000</v>
      </c>
      <c r="D27" s="210">
        <v>40000</v>
      </c>
      <c r="E27" s="263">
        <v>45500</v>
      </c>
      <c r="F27" s="239">
        <f t="shared" si="0"/>
        <v>5500</v>
      </c>
      <c r="G27" s="239"/>
      <c r="H27" s="263">
        <v>69500</v>
      </c>
      <c r="I27" s="239">
        <v>35500</v>
      </c>
      <c r="J27" s="290">
        <v>44500</v>
      </c>
      <c r="K27" s="188">
        <v>40500</v>
      </c>
      <c r="L27" s="290">
        <v>39000</v>
      </c>
      <c r="M27" s="188">
        <v>38500</v>
      </c>
      <c r="N27" s="188">
        <v>49385</v>
      </c>
      <c r="O27" s="188">
        <v>37000</v>
      </c>
      <c r="P27" s="165">
        <v>54000</v>
      </c>
      <c r="Q27" s="153">
        <v>62570</v>
      </c>
      <c r="R27" s="125">
        <v>41400</v>
      </c>
      <c r="T27" s="4"/>
      <c r="U27" s="4"/>
    </row>
    <row r="28" spans="1:21" x14ac:dyDescent="0.25">
      <c r="A28" s="186" t="str">
        <f>"3421"</f>
        <v>3421</v>
      </c>
      <c r="B28" s="5" t="s">
        <v>161</v>
      </c>
      <c r="C28" s="210">
        <v>100000</v>
      </c>
      <c r="D28" s="210">
        <f>70000</f>
        <v>70000</v>
      </c>
      <c r="E28" s="263">
        <v>180000</v>
      </c>
      <c r="F28" s="255">
        <f t="shared" si="0"/>
        <v>110000</v>
      </c>
      <c r="G28" s="239"/>
      <c r="H28" s="263">
        <v>186133.05</v>
      </c>
      <c r="I28" s="239">
        <v>30000</v>
      </c>
      <c r="J28" s="290">
        <v>30000</v>
      </c>
      <c r="K28" s="188">
        <v>30000</v>
      </c>
      <c r="L28" s="290">
        <v>30000</v>
      </c>
      <c r="M28" s="188">
        <v>62500</v>
      </c>
      <c r="N28" s="188">
        <v>24000</v>
      </c>
      <c r="O28" s="188">
        <v>93000</v>
      </c>
      <c r="P28" s="165">
        <v>28000</v>
      </c>
      <c r="Q28" s="153">
        <v>73000</v>
      </c>
      <c r="R28" s="125">
        <v>28000</v>
      </c>
    </row>
    <row r="29" spans="1:21" x14ac:dyDescent="0.25">
      <c r="A29" s="186" t="s">
        <v>18</v>
      </c>
      <c r="B29" s="5" t="s">
        <v>189</v>
      </c>
      <c r="C29" s="210">
        <v>4000</v>
      </c>
      <c r="D29" s="210">
        <v>4000</v>
      </c>
      <c r="E29" s="263">
        <v>1500</v>
      </c>
      <c r="F29" s="255">
        <f t="shared" si="0"/>
        <v>-2500</v>
      </c>
      <c r="G29" s="239"/>
      <c r="H29" s="263">
        <v>8500</v>
      </c>
      <c r="I29" s="239">
        <v>5000</v>
      </c>
      <c r="J29" s="290"/>
      <c r="K29" s="188">
        <v>0</v>
      </c>
      <c r="L29" s="290">
        <v>51248</v>
      </c>
      <c r="M29" s="188">
        <v>35000</v>
      </c>
      <c r="N29" s="188">
        <v>29500</v>
      </c>
      <c r="O29" s="188">
        <v>27000</v>
      </c>
      <c r="P29" s="165">
        <v>28775.33</v>
      </c>
      <c r="Q29" s="153">
        <v>26179</v>
      </c>
      <c r="R29" s="125">
        <v>50350</v>
      </c>
    </row>
    <row r="30" spans="1:21" x14ac:dyDescent="0.25">
      <c r="A30" s="186" t="str">
        <f>"3430"</f>
        <v>3430</v>
      </c>
      <c r="B30" s="5" t="str">
        <f>"Intäkter föräldrarföreningen"</f>
        <v>Intäkter föräldrarföreningen</v>
      </c>
      <c r="C30" s="210"/>
      <c r="D30" s="210"/>
      <c r="E30" s="263"/>
      <c r="F30" s="239">
        <f t="shared" si="0"/>
        <v>0</v>
      </c>
      <c r="G30" s="239"/>
      <c r="H30" s="263"/>
      <c r="I30" s="239"/>
      <c r="J30" s="290"/>
      <c r="K30" s="188">
        <v>0</v>
      </c>
      <c r="L30" s="290">
        <v>30693</v>
      </c>
      <c r="M30" s="188"/>
      <c r="N30" s="188"/>
      <c r="O30" s="188"/>
      <c r="P30" s="165"/>
      <c r="Q30" s="153"/>
      <c r="R30" s="127"/>
    </row>
    <row r="31" spans="1:21" x14ac:dyDescent="0.25">
      <c r="A31" s="186" t="s">
        <v>190</v>
      </c>
      <c r="B31" s="5" t="s">
        <v>191</v>
      </c>
      <c r="C31" s="210"/>
      <c r="D31" s="210"/>
      <c r="E31" s="263">
        <v>0</v>
      </c>
      <c r="F31" s="239"/>
      <c r="G31" s="239"/>
      <c r="H31" s="263">
        <v>7000</v>
      </c>
      <c r="I31" s="239"/>
      <c r="J31" s="290"/>
      <c r="K31" s="188"/>
      <c r="L31" s="290"/>
      <c r="M31" s="188"/>
      <c r="N31" s="188"/>
      <c r="O31" s="188"/>
      <c r="P31" s="165"/>
      <c r="Q31" s="153"/>
      <c r="R31" s="127"/>
    </row>
    <row r="32" spans="1:21" x14ac:dyDescent="0.25">
      <c r="A32" s="186" t="str">
        <f>"3520"</f>
        <v>3520</v>
      </c>
      <c r="B32" s="5" t="str">
        <f>"Intäkter Kanotförsäkring"</f>
        <v>Intäkter Kanotförsäkring</v>
      </c>
      <c r="C32" s="210"/>
      <c r="D32" s="210"/>
      <c r="E32" s="263"/>
      <c r="F32" s="239">
        <f t="shared" si="0"/>
        <v>0</v>
      </c>
      <c r="G32" s="239"/>
      <c r="H32" s="263"/>
      <c r="I32" s="239"/>
      <c r="J32" s="290"/>
      <c r="K32" s="188"/>
      <c r="L32" s="290"/>
      <c r="M32" s="188"/>
      <c r="N32" s="188"/>
      <c r="O32" s="188">
        <v>430</v>
      </c>
      <c r="P32" s="165">
        <v>2100</v>
      </c>
      <c r="Q32" s="153">
        <v>3458</v>
      </c>
      <c r="R32" s="127">
        <v>3830</v>
      </c>
    </row>
    <row r="33" spans="1:22" x14ac:dyDescent="0.25">
      <c r="A33" s="186" t="s">
        <v>95</v>
      </c>
      <c r="B33" s="5" t="s">
        <v>150</v>
      </c>
      <c r="C33" s="210">
        <v>10000</v>
      </c>
      <c r="D33" s="210">
        <v>10000</v>
      </c>
      <c r="E33" s="263">
        <v>43380</v>
      </c>
      <c r="F33" s="239">
        <f t="shared" si="0"/>
        <v>33380</v>
      </c>
      <c r="G33" s="239"/>
      <c r="H33" s="263">
        <v>11919</v>
      </c>
      <c r="I33" s="239">
        <v>30575</v>
      </c>
      <c r="J33" s="290">
        <v>87517</v>
      </c>
      <c r="K33" s="188">
        <v>4559</v>
      </c>
      <c r="L33" s="290">
        <v>17369</v>
      </c>
      <c r="M33" s="188"/>
      <c r="N33" s="188"/>
      <c r="O33" s="188"/>
      <c r="P33" s="165"/>
      <c r="Q33" s="153"/>
      <c r="R33" s="127"/>
    </row>
    <row r="34" spans="1:22" x14ac:dyDescent="0.25">
      <c r="A34" s="186" t="s">
        <v>133</v>
      </c>
      <c r="B34" s="5" t="s">
        <v>134</v>
      </c>
      <c r="C34" s="210">
        <v>3000</v>
      </c>
      <c r="D34" s="210">
        <v>10000</v>
      </c>
      <c r="E34" s="263"/>
      <c r="F34" s="239"/>
      <c r="G34" s="239"/>
      <c r="H34" s="263"/>
      <c r="I34" s="239"/>
      <c r="J34" s="290"/>
      <c r="K34" s="188"/>
      <c r="L34" s="290"/>
      <c r="M34" s="188"/>
      <c r="N34" s="188">
        <v>1200</v>
      </c>
      <c r="O34" s="188"/>
      <c r="P34" s="165"/>
      <c r="Q34" s="153"/>
      <c r="R34" s="127"/>
    </row>
    <row r="35" spans="1:22" x14ac:dyDescent="0.25">
      <c r="A35" s="186" t="s">
        <v>20</v>
      </c>
      <c r="B35" s="5" t="s">
        <v>21</v>
      </c>
      <c r="C35" s="210"/>
      <c r="D35" s="210"/>
      <c r="E35" s="263"/>
      <c r="F35" s="239">
        <f t="shared" ref="F35:F40" si="1">-(D35-E35)</f>
        <v>0</v>
      </c>
      <c r="G35" s="239"/>
      <c r="H35" s="263"/>
      <c r="I35" s="239"/>
      <c r="J35" s="290"/>
      <c r="K35" s="188"/>
      <c r="L35" s="290"/>
      <c r="M35" s="188"/>
      <c r="N35" s="188"/>
      <c r="O35" s="188"/>
      <c r="P35" s="165"/>
      <c r="Q35" s="153">
        <v>61624</v>
      </c>
      <c r="R35" s="127"/>
    </row>
    <row r="36" spans="1:22" x14ac:dyDescent="0.25">
      <c r="A36" s="186" t="str">
        <f>"3710"</f>
        <v>3710</v>
      </c>
      <c r="B36" s="5" t="str">
        <f>"Kommunala bidrag"</f>
        <v>Kommunala bidrag</v>
      </c>
      <c r="C36" s="210">
        <v>100000</v>
      </c>
      <c r="D36" s="210">
        <v>75000</v>
      </c>
      <c r="E36" s="263">
        <v>127725</v>
      </c>
      <c r="F36" s="255">
        <f t="shared" si="1"/>
        <v>52725</v>
      </c>
      <c r="G36" s="239"/>
      <c r="H36" s="263">
        <v>76889</v>
      </c>
      <c r="I36" s="239">
        <v>87386</v>
      </c>
      <c r="J36" s="290">
        <v>75387</v>
      </c>
      <c r="K36" s="188">
        <v>93899</v>
      </c>
      <c r="L36" s="290">
        <v>76399</v>
      </c>
      <c r="M36" s="188">
        <v>53067</v>
      </c>
      <c r="N36" s="188">
        <v>71801</v>
      </c>
      <c r="O36" s="188">
        <v>51130</v>
      </c>
      <c r="P36" s="165">
        <v>54852</v>
      </c>
      <c r="Q36" s="153">
        <v>52860</v>
      </c>
      <c r="R36" s="127">
        <v>51090</v>
      </c>
    </row>
    <row r="37" spans="1:22" x14ac:dyDescent="0.25">
      <c r="A37" s="186" t="s">
        <v>162</v>
      </c>
      <c r="B37" s="5" t="s">
        <v>163</v>
      </c>
      <c r="C37" s="210">
        <v>0</v>
      </c>
      <c r="D37" s="210">
        <v>20000</v>
      </c>
      <c r="E37" s="263">
        <v>0</v>
      </c>
      <c r="F37" s="255">
        <f t="shared" si="1"/>
        <v>-20000</v>
      </c>
      <c r="G37" s="239"/>
      <c r="H37" s="263">
        <v>20000</v>
      </c>
      <c r="I37" s="239">
        <v>46752.34</v>
      </c>
      <c r="J37" s="290">
        <v>24019</v>
      </c>
      <c r="K37" s="188">
        <v>82060</v>
      </c>
      <c r="L37" s="290"/>
      <c r="M37" s="188"/>
      <c r="N37" s="188"/>
      <c r="O37" s="188"/>
      <c r="P37" s="165"/>
      <c r="Q37" s="153"/>
      <c r="R37" s="127"/>
    </row>
    <row r="38" spans="1:22" x14ac:dyDescent="0.25">
      <c r="A38" s="186" t="str">
        <f>"3730"</f>
        <v>3730</v>
      </c>
      <c r="B38" s="5" t="str">
        <f>"LOK-stöd Riksidrottsförbundet"</f>
        <v>LOK-stöd Riksidrottsförbundet</v>
      </c>
      <c r="C38" s="210">
        <v>63000</v>
      </c>
      <c r="D38" s="210">
        <v>50000</v>
      </c>
      <c r="E38" s="263">
        <v>63620</v>
      </c>
      <c r="F38" s="255">
        <f t="shared" si="1"/>
        <v>13620</v>
      </c>
      <c r="G38" s="239"/>
      <c r="H38" s="263">
        <v>65565.22</v>
      </c>
      <c r="I38" s="239">
        <v>63577</v>
      </c>
      <c r="J38" s="290">
        <v>32728.05</v>
      </c>
      <c r="K38" s="188">
        <v>53929.18</v>
      </c>
      <c r="L38" s="290">
        <v>40855.599999999999</v>
      </c>
      <c r="M38" s="188">
        <v>48410.75</v>
      </c>
      <c r="N38" s="188">
        <v>54186</v>
      </c>
      <c r="O38" s="188">
        <v>40408</v>
      </c>
      <c r="P38" s="165">
        <v>36836</v>
      </c>
      <c r="Q38" s="153">
        <v>33824</v>
      </c>
      <c r="R38" s="127">
        <v>39430</v>
      </c>
    </row>
    <row r="39" spans="1:22" x14ac:dyDescent="0.25">
      <c r="A39" s="186" t="s">
        <v>135</v>
      </c>
      <c r="B39" s="5" t="s">
        <v>136</v>
      </c>
      <c r="C39" s="210"/>
      <c r="D39" s="210"/>
      <c r="E39" s="263">
        <v>0</v>
      </c>
      <c r="F39" s="255">
        <f t="shared" si="1"/>
        <v>0</v>
      </c>
      <c r="G39" s="239"/>
      <c r="H39" s="263">
        <v>0</v>
      </c>
      <c r="I39" s="239">
        <v>0</v>
      </c>
      <c r="J39" s="290">
        <v>9529</v>
      </c>
      <c r="K39" s="188">
        <v>0</v>
      </c>
      <c r="L39" s="290">
        <v>0</v>
      </c>
      <c r="M39" s="188"/>
      <c r="N39" s="188">
        <v>108000</v>
      </c>
      <c r="O39" s="188"/>
      <c r="P39" s="165"/>
      <c r="Q39" s="153"/>
      <c r="R39" s="127"/>
    </row>
    <row r="40" spans="1:22" x14ac:dyDescent="0.25">
      <c r="A40" s="186" t="s">
        <v>22</v>
      </c>
      <c r="B40" s="5" t="s">
        <v>198</v>
      </c>
      <c r="C40" s="210">
        <v>65000</v>
      </c>
      <c r="D40" s="210"/>
      <c r="E40" s="263">
        <v>483273.2</v>
      </c>
      <c r="F40" s="255">
        <f t="shared" si="1"/>
        <v>483273.2</v>
      </c>
      <c r="G40" s="239"/>
      <c r="H40" s="263"/>
      <c r="I40" s="239"/>
      <c r="J40" s="290"/>
      <c r="K40" s="188"/>
      <c r="L40" s="290"/>
      <c r="M40" s="188"/>
      <c r="N40" s="188"/>
      <c r="O40" s="188"/>
      <c r="P40" s="165"/>
      <c r="Q40" s="153"/>
      <c r="R40" s="127"/>
    </row>
    <row r="41" spans="1:22" x14ac:dyDescent="0.25">
      <c r="A41" s="186" t="str">
        <f>"3790"</f>
        <v>3790</v>
      </c>
      <c r="B41" s="5" t="s">
        <v>182</v>
      </c>
      <c r="C41" s="210"/>
      <c r="D41" s="210"/>
      <c r="E41" s="263">
        <v>0</v>
      </c>
      <c r="F41" s="255">
        <f t="shared" ref="F41:F43" si="2">-(D41-E41)</f>
        <v>0</v>
      </c>
      <c r="G41" s="239"/>
      <c r="H41" s="263">
        <v>168000</v>
      </c>
      <c r="I41" s="239">
        <v>14600</v>
      </c>
      <c r="J41" s="290">
        <v>5000</v>
      </c>
      <c r="K41" s="188"/>
      <c r="L41" s="290"/>
      <c r="M41" s="188"/>
      <c r="N41" s="188"/>
      <c r="O41" s="188"/>
      <c r="P41" s="165"/>
      <c r="Q41" s="153"/>
      <c r="R41" s="127"/>
      <c r="V41" s="4"/>
    </row>
    <row r="42" spans="1:22" x14ac:dyDescent="0.25">
      <c r="A42" s="26"/>
      <c r="B42" s="6"/>
      <c r="C42" s="210"/>
      <c r="D42" s="210"/>
      <c r="E42" s="263"/>
      <c r="F42" s="255"/>
      <c r="G42" s="239"/>
      <c r="H42" s="263"/>
      <c r="I42" s="239"/>
      <c r="J42" s="290"/>
      <c r="K42" s="188"/>
      <c r="L42" s="290"/>
      <c r="M42" s="188"/>
      <c r="N42" s="188"/>
      <c r="O42" s="188"/>
      <c r="P42" s="165"/>
      <c r="Q42" s="153"/>
      <c r="R42" s="127"/>
    </row>
    <row r="43" spans="1:22" s="1" customFormat="1" x14ac:dyDescent="0.25">
      <c r="A43" s="27" t="str">
        <f>"S:a Nettoomsättning"</f>
        <v>S:a Nettoomsättning</v>
      </c>
      <c r="B43" s="14"/>
      <c r="C43" s="209">
        <f>SUM(C8:C41)</f>
        <v>738500</v>
      </c>
      <c r="D43" s="209">
        <f>SUM(D8:D41)</f>
        <v>627600</v>
      </c>
      <c r="E43" s="265">
        <f>SUM(E8:E42)</f>
        <v>1274797.2</v>
      </c>
      <c r="F43" s="292">
        <f t="shared" si="2"/>
        <v>647197.19999999995</v>
      </c>
      <c r="G43" s="240"/>
      <c r="H43" s="265">
        <f>SUM(H8:H42)</f>
        <v>918371.27</v>
      </c>
      <c r="I43" s="240">
        <v>634863.34</v>
      </c>
      <c r="J43" s="292">
        <f>SUM(J8:J42)</f>
        <v>542786.05000000005</v>
      </c>
      <c r="K43" s="189">
        <v>520343.26999999996</v>
      </c>
      <c r="L43" s="292">
        <f>SUM(L8:L42)</f>
        <v>645019.6</v>
      </c>
      <c r="M43" s="189">
        <f>SUM(M8:M42)</f>
        <v>493735.75</v>
      </c>
      <c r="N43" s="189">
        <f>SUM(N8:N42)</f>
        <v>571737.75</v>
      </c>
      <c r="O43" s="189">
        <f>SUM(O8:O42)</f>
        <v>473728</v>
      </c>
      <c r="P43" s="167">
        <f>SUM(P8:P41)</f>
        <v>422129.33</v>
      </c>
      <c r="Q43" s="154">
        <f>SUM(Q8:Q41)</f>
        <v>549106</v>
      </c>
      <c r="R43" s="119">
        <f>SUM(R8:R41)</f>
        <v>411883.5</v>
      </c>
      <c r="V43" s="120"/>
    </row>
    <row r="44" spans="1:22" x14ac:dyDescent="0.25">
      <c r="A44" s="19"/>
      <c r="B44" s="20"/>
      <c r="C44" s="205"/>
      <c r="D44" s="205"/>
      <c r="E44" s="266"/>
      <c r="F44" s="241"/>
      <c r="G44" s="241"/>
      <c r="H44" s="266"/>
      <c r="I44" s="241"/>
      <c r="J44" s="293"/>
      <c r="K44" s="190"/>
      <c r="L44" s="293"/>
      <c r="M44" s="190"/>
      <c r="N44" s="190"/>
      <c r="O44" s="190"/>
      <c r="P44" s="168"/>
      <c r="Q44" s="155"/>
      <c r="R44" s="128"/>
    </row>
    <row r="45" spans="1:22" x14ac:dyDescent="0.25">
      <c r="A45" s="22" t="str">
        <f>"Aktiverat arbete för egen räkning"</f>
        <v>Aktiverat arbete för egen räkning</v>
      </c>
      <c r="B45" s="6"/>
      <c r="C45" s="203"/>
      <c r="D45" s="203"/>
      <c r="E45" s="263"/>
      <c r="F45" s="239"/>
      <c r="G45" s="239"/>
      <c r="H45" s="263"/>
      <c r="I45" s="239"/>
      <c r="J45" s="290"/>
      <c r="K45" s="188"/>
      <c r="L45" s="290"/>
      <c r="M45" s="188"/>
      <c r="N45" s="188"/>
      <c r="O45" s="188"/>
      <c r="P45" s="6"/>
      <c r="Q45" s="153"/>
      <c r="R45" s="129"/>
    </row>
    <row r="46" spans="1:22" x14ac:dyDescent="0.25">
      <c r="A46" s="186" t="str">
        <f>"3813"</f>
        <v>3813</v>
      </c>
      <c r="B46" s="5" t="s">
        <v>27</v>
      </c>
      <c r="C46" s="210">
        <v>0</v>
      </c>
      <c r="D46" s="210">
        <v>0</v>
      </c>
      <c r="E46" s="263">
        <v>0</v>
      </c>
      <c r="F46" s="239"/>
      <c r="G46" s="239"/>
      <c r="H46" s="263">
        <v>0</v>
      </c>
      <c r="I46" s="239">
        <v>0</v>
      </c>
      <c r="J46" s="290">
        <v>0</v>
      </c>
      <c r="K46" s="188">
        <v>0</v>
      </c>
      <c r="L46" s="290">
        <v>0</v>
      </c>
      <c r="M46" s="188">
        <v>0</v>
      </c>
      <c r="N46" s="188">
        <v>5500</v>
      </c>
      <c r="O46" s="188">
        <v>2000</v>
      </c>
      <c r="P46" s="153">
        <v>1000</v>
      </c>
      <c r="Q46" s="153">
        <v>3350</v>
      </c>
      <c r="R46" s="127">
        <v>0</v>
      </c>
    </row>
    <row r="47" spans="1:22" x14ac:dyDescent="0.25">
      <c r="A47" s="187"/>
      <c r="B47" s="6"/>
      <c r="C47" s="210"/>
      <c r="D47" s="210"/>
      <c r="E47" s="263"/>
      <c r="F47" s="239"/>
      <c r="G47" s="239"/>
      <c r="H47" s="263"/>
      <c r="I47" s="239"/>
      <c r="J47" s="290"/>
      <c r="K47" s="188"/>
      <c r="L47" s="290"/>
      <c r="M47" s="188"/>
      <c r="N47" s="188"/>
      <c r="O47" s="188"/>
      <c r="P47" s="6"/>
      <c r="Q47" s="153"/>
      <c r="R47" s="129"/>
    </row>
    <row r="48" spans="1:22" s="1" customFormat="1" x14ac:dyDescent="0.25">
      <c r="A48" s="27" t="str">
        <f>"S:a Aktiverat arbete för egen räkning"</f>
        <v>S:a Aktiverat arbete för egen räkning</v>
      </c>
      <c r="B48" s="14"/>
      <c r="C48" s="212">
        <v>0</v>
      </c>
      <c r="D48" s="212">
        <v>0</v>
      </c>
      <c r="E48" s="265">
        <f>SUM(E46:E47)</f>
        <v>0</v>
      </c>
      <c r="F48" s="240"/>
      <c r="G48" s="240"/>
      <c r="H48" s="265">
        <f>SUM(H46:H47)</f>
        <v>0</v>
      </c>
      <c r="I48" s="240">
        <v>0</v>
      </c>
      <c r="J48" s="292">
        <f>SUM(J46:J47)</f>
        <v>0</v>
      </c>
      <c r="K48" s="189">
        <v>0</v>
      </c>
      <c r="L48" s="292">
        <f>SUM(L46:L47)</f>
        <v>0</v>
      </c>
      <c r="M48" s="189">
        <f>SUM(M46:M47)</f>
        <v>0</v>
      </c>
      <c r="N48" s="189">
        <f>SUM(N46:N47)</f>
        <v>5500</v>
      </c>
      <c r="O48" s="189">
        <f>SUM(O46:O47)</f>
        <v>2000</v>
      </c>
      <c r="P48" s="109">
        <f>SUM(P46:P46)</f>
        <v>1000</v>
      </c>
      <c r="Q48" s="109">
        <f>SUM(Q46:Q46)</f>
        <v>3350</v>
      </c>
      <c r="R48" s="119">
        <f>SUM(R46:R47)</f>
        <v>0</v>
      </c>
    </row>
    <row r="49" spans="1:70" x14ac:dyDescent="0.25">
      <c r="A49" s="19"/>
      <c r="B49" s="20"/>
      <c r="C49" s="205"/>
      <c r="D49" s="205"/>
      <c r="E49" s="266"/>
      <c r="F49" s="241"/>
      <c r="G49" s="241"/>
      <c r="H49" s="266"/>
      <c r="I49" s="241"/>
      <c r="J49" s="293"/>
      <c r="K49" s="190"/>
      <c r="L49" s="293"/>
      <c r="M49" s="190"/>
      <c r="N49" s="190"/>
      <c r="O49" s="190"/>
      <c r="P49" s="168"/>
      <c r="Q49" s="155"/>
      <c r="R49" s="128"/>
    </row>
    <row r="50" spans="1:70" x14ac:dyDescent="0.25">
      <c r="A50" s="22" t="str">
        <f>"Övriga rörelseintäkter"</f>
        <v>Övriga rörelseintäkter</v>
      </c>
      <c r="B50" s="6"/>
      <c r="C50" s="203"/>
      <c r="D50" s="203"/>
      <c r="E50" s="263"/>
      <c r="F50" s="239"/>
      <c r="G50" s="239"/>
      <c r="H50" s="263"/>
      <c r="I50" s="239"/>
      <c r="J50" s="290"/>
      <c r="K50" s="188"/>
      <c r="L50" s="290"/>
      <c r="M50" s="188"/>
      <c r="N50" s="188"/>
      <c r="O50" s="188"/>
      <c r="P50" s="6"/>
      <c r="Q50" s="153"/>
      <c r="R50" s="129"/>
    </row>
    <row r="51" spans="1:70" x14ac:dyDescent="0.25">
      <c r="A51" s="186" t="s">
        <v>137</v>
      </c>
      <c r="B51" s="6" t="s">
        <v>138</v>
      </c>
      <c r="C51" s="203"/>
      <c r="D51" s="203"/>
      <c r="E51" s="263">
        <v>0</v>
      </c>
      <c r="F51" s="239"/>
      <c r="G51" s="239"/>
      <c r="H51" s="263">
        <v>0</v>
      </c>
      <c r="I51" s="239">
        <v>0</v>
      </c>
      <c r="J51" s="290">
        <v>0</v>
      </c>
      <c r="K51" s="188">
        <v>0</v>
      </c>
      <c r="L51" s="290">
        <v>0</v>
      </c>
      <c r="M51" s="188">
        <v>22000</v>
      </c>
      <c r="N51" s="188"/>
      <c r="O51" s="188"/>
      <c r="P51" s="6"/>
      <c r="Q51" s="153"/>
      <c r="R51" s="129"/>
    </row>
    <row r="52" spans="1:70" x14ac:dyDescent="0.25">
      <c r="A52" s="186" t="s">
        <v>183</v>
      </c>
      <c r="B52" s="6" t="s">
        <v>184</v>
      </c>
      <c r="C52" s="203"/>
      <c r="D52" s="203"/>
      <c r="E52" s="263"/>
      <c r="F52" s="239"/>
      <c r="G52" s="239"/>
      <c r="H52" s="263"/>
      <c r="I52" s="239">
        <v>15000</v>
      </c>
      <c r="J52" s="290"/>
      <c r="K52" s="188"/>
      <c r="L52" s="290"/>
      <c r="M52" s="188"/>
      <c r="N52" s="188"/>
      <c r="O52" s="188"/>
      <c r="P52" s="6"/>
      <c r="Q52" s="153"/>
      <c r="R52" s="129"/>
    </row>
    <row r="53" spans="1:70" x14ac:dyDescent="0.25">
      <c r="A53" s="186" t="str">
        <f>"3990"</f>
        <v>3990</v>
      </c>
      <c r="B53" s="5" t="str">
        <f>"Övr ersättn och intäkter"</f>
        <v>Övr ersättn och intäkter</v>
      </c>
      <c r="C53" s="210">
        <v>0</v>
      </c>
      <c r="D53" s="210">
        <v>0</v>
      </c>
      <c r="E53" s="263">
        <v>0</v>
      </c>
      <c r="F53" s="239"/>
      <c r="G53" s="239"/>
      <c r="H53" s="263">
        <v>0</v>
      </c>
      <c r="I53" s="239">
        <v>0</v>
      </c>
      <c r="J53" s="290">
        <v>0</v>
      </c>
      <c r="K53" s="188">
        <v>0</v>
      </c>
      <c r="L53" s="290">
        <v>57992</v>
      </c>
      <c r="M53" s="188">
        <v>9363</v>
      </c>
      <c r="N53" s="188"/>
      <c r="O53" s="188"/>
      <c r="P53" s="169">
        <v>11103</v>
      </c>
      <c r="Q53" s="153"/>
      <c r="R53" s="127"/>
    </row>
    <row r="54" spans="1:70" x14ac:dyDescent="0.25">
      <c r="A54" s="186" t="str">
        <f>"3992"</f>
        <v>3992</v>
      </c>
      <c r="B54" s="5" t="s">
        <v>28</v>
      </c>
      <c r="C54" s="210"/>
      <c r="D54" s="210"/>
      <c r="E54" s="263"/>
      <c r="F54" s="239"/>
      <c r="G54" s="239"/>
      <c r="H54" s="263"/>
      <c r="I54" s="239"/>
      <c r="J54" s="290"/>
      <c r="K54" s="188"/>
      <c r="L54" s="290"/>
      <c r="M54" s="188"/>
      <c r="N54" s="188"/>
      <c r="O54" s="188"/>
      <c r="P54" s="169"/>
      <c r="Q54" s="153"/>
      <c r="R54" s="127"/>
    </row>
    <row r="55" spans="1:70" x14ac:dyDescent="0.25">
      <c r="A55" s="187">
        <v>3680</v>
      </c>
      <c r="B55" s="6" t="s">
        <v>29</v>
      </c>
      <c r="C55" s="210"/>
      <c r="D55" s="210"/>
      <c r="E55" s="263"/>
      <c r="F55" s="239"/>
      <c r="G55" s="239"/>
      <c r="H55" s="263"/>
      <c r="I55" s="239"/>
      <c r="J55" s="290"/>
      <c r="K55" s="188"/>
      <c r="L55" s="290"/>
      <c r="M55" s="188"/>
      <c r="N55" s="188"/>
      <c r="O55" s="188"/>
      <c r="P55" s="169"/>
      <c r="Q55" s="153"/>
      <c r="R55" s="129"/>
    </row>
    <row r="56" spans="1:70" s="1" customFormat="1" x14ac:dyDescent="0.25">
      <c r="A56" s="27" t="str">
        <f>"S:a Övriga rörelseintäkter"</f>
        <v>S:a Övriga rörelseintäkter</v>
      </c>
      <c r="B56" s="14"/>
      <c r="C56" s="212">
        <v>0</v>
      </c>
      <c r="D56" s="212">
        <v>0</v>
      </c>
      <c r="E56" s="267">
        <f>SUM(E51:E55)</f>
        <v>0</v>
      </c>
      <c r="F56" s="240"/>
      <c r="G56" s="240"/>
      <c r="H56" s="267">
        <f>SUM(H51:H55)</f>
        <v>0</v>
      </c>
      <c r="I56" s="240">
        <v>15000</v>
      </c>
      <c r="J56" s="170">
        <f>SUM(J51:J55)</f>
        <v>0</v>
      </c>
      <c r="K56" s="189">
        <v>0</v>
      </c>
      <c r="L56" s="170">
        <f>SUM(L51:L55)</f>
        <v>57992</v>
      </c>
      <c r="M56" s="170">
        <f>SUM(M51:M55)</f>
        <v>31363</v>
      </c>
      <c r="N56" s="170">
        <f>SUM(N53:N55)</f>
        <v>0</v>
      </c>
      <c r="O56" s="170">
        <f>SUM(O53:O55)</f>
        <v>0</v>
      </c>
      <c r="P56" s="170">
        <f>SUM(P53:P55)</f>
        <v>11103</v>
      </c>
      <c r="Q56" s="109">
        <f>SUM(Q53:Q55)</f>
        <v>0</v>
      </c>
      <c r="R56" s="119">
        <f>SUM(R53:R55)</f>
        <v>0</v>
      </c>
    </row>
    <row r="57" spans="1:70" x14ac:dyDescent="0.25">
      <c r="A57" s="19"/>
      <c r="B57" s="20"/>
      <c r="C57" s="205"/>
      <c r="D57" s="205"/>
      <c r="E57" s="266"/>
      <c r="F57" s="241"/>
      <c r="G57" s="241"/>
      <c r="H57" s="266"/>
      <c r="I57" s="241"/>
      <c r="J57" s="293"/>
      <c r="K57" s="190"/>
      <c r="L57" s="293"/>
      <c r="M57" s="190"/>
      <c r="N57" s="190"/>
      <c r="O57" s="190"/>
      <c r="P57" s="168"/>
      <c r="Q57" s="155"/>
      <c r="R57" s="128"/>
    </row>
    <row r="58" spans="1:70" x14ac:dyDescent="0.25">
      <c r="A58" s="26"/>
      <c r="B58" s="6"/>
      <c r="C58" s="203"/>
      <c r="D58" s="203"/>
      <c r="E58" s="263"/>
      <c r="F58" s="239"/>
      <c r="G58" s="239"/>
      <c r="H58" s="263"/>
      <c r="I58" s="239"/>
      <c r="J58" s="290"/>
      <c r="K58" s="188"/>
      <c r="L58" s="290"/>
      <c r="M58" s="188"/>
      <c r="N58" s="188"/>
      <c r="O58" s="188"/>
      <c r="P58" s="6"/>
      <c r="Q58" s="153"/>
      <c r="R58" s="129"/>
    </row>
    <row r="59" spans="1:70" s="2" customFormat="1" x14ac:dyDescent="0.25">
      <c r="A59" s="32" t="str">
        <f>"S:a Rörelseintäkter och lagerförändring"</f>
        <v>S:a Rörelseintäkter och lagerförändring</v>
      </c>
      <c r="B59" s="33"/>
      <c r="C59" s="147">
        <f>SUM(C43+C48+C56)</f>
        <v>738500</v>
      </c>
      <c r="D59" s="147">
        <f>SUM(D43+D48+D56)</f>
        <v>627600</v>
      </c>
      <c r="E59" s="147">
        <f>E43+E48+E56</f>
        <v>1274797.2</v>
      </c>
      <c r="F59" s="242">
        <f>E59-D59</f>
        <v>647197.19999999995</v>
      </c>
      <c r="G59" s="242"/>
      <c r="H59" s="147">
        <f>H43+H48+H56</f>
        <v>918371.27</v>
      </c>
      <c r="I59" s="242">
        <v>649863.34</v>
      </c>
      <c r="J59" s="163">
        <f>J43+J48+J56</f>
        <v>542786.05000000005</v>
      </c>
      <c r="K59" s="163">
        <v>520343.26999999996</v>
      </c>
      <c r="L59" s="163">
        <f>L43+L48+L56</f>
        <v>703011.6</v>
      </c>
      <c r="M59" s="163">
        <f t="shared" ref="M59:R59" si="3">M43+M48+M56</f>
        <v>525098.75</v>
      </c>
      <c r="N59" s="163">
        <f t="shared" si="3"/>
        <v>577237.75</v>
      </c>
      <c r="O59" s="163">
        <f t="shared" si="3"/>
        <v>475728</v>
      </c>
      <c r="P59" s="147">
        <f t="shared" si="3"/>
        <v>434232.33</v>
      </c>
      <c r="Q59" s="112">
        <f t="shared" si="3"/>
        <v>552456</v>
      </c>
      <c r="R59" s="111">
        <f t="shared" si="3"/>
        <v>411883.5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x14ac:dyDescent="0.25">
      <c r="A60" s="19"/>
      <c r="B60" s="20"/>
      <c r="C60" s="205"/>
      <c r="D60" s="205"/>
      <c r="E60" s="266"/>
      <c r="F60" s="241"/>
      <c r="G60" s="241"/>
      <c r="H60" s="266"/>
      <c r="I60" s="241"/>
      <c r="J60" s="293"/>
      <c r="K60" s="190"/>
      <c r="L60" s="293"/>
      <c r="M60" s="190"/>
      <c r="N60" s="190"/>
      <c r="O60" s="190"/>
      <c r="P60" s="168"/>
      <c r="Q60" s="155"/>
      <c r="R60" s="128"/>
    </row>
    <row r="61" spans="1:70" x14ac:dyDescent="0.25">
      <c r="A61" s="22" t="str">
        <f>"Rörelsens kostnader"</f>
        <v>Rörelsens kostnader</v>
      </c>
      <c r="B61" s="6"/>
      <c r="C61" s="203"/>
      <c r="D61" s="203"/>
      <c r="E61" s="263"/>
      <c r="F61" s="239"/>
      <c r="G61" s="239"/>
      <c r="H61" s="263"/>
      <c r="I61" s="239"/>
      <c r="J61" s="290"/>
      <c r="K61" s="188"/>
      <c r="L61" s="290"/>
      <c r="M61" s="188"/>
      <c r="N61" s="188"/>
      <c r="O61" s="188"/>
      <c r="P61" s="6"/>
      <c r="Q61" s="153"/>
      <c r="R61" s="129"/>
    </row>
    <row r="62" spans="1:70" x14ac:dyDescent="0.25">
      <c r="A62" s="22" t="str">
        <f>"Råvaror och förnödenheter mm"</f>
        <v>Råvaror och förnödenheter mm</v>
      </c>
      <c r="B62" s="6"/>
      <c r="C62" s="203"/>
      <c r="D62" s="203"/>
      <c r="E62" s="263"/>
      <c r="F62" s="239"/>
      <c r="G62" s="239"/>
      <c r="H62" s="263"/>
      <c r="I62" s="239"/>
      <c r="J62" s="290"/>
      <c r="K62" s="188"/>
      <c r="L62" s="290"/>
      <c r="M62" s="188"/>
      <c r="N62" s="188"/>
      <c r="O62" s="188"/>
      <c r="P62" s="6"/>
      <c r="Q62" s="153"/>
      <c r="R62" s="129"/>
    </row>
    <row r="63" spans="1:70" x14ac:dyDescent="0.25">
      <c r="A63" s="24" t="s">
        <v>139</v>
      </c>
      <c r="B63" s="5" t="s">
        <v>140</v>
      </c>
      <c r="C63" s="210">
        <v>0</v>
      </c>
      <c r="D63" s="210">
        <v>0</v>
      </c>
      <c r="E63" s="263"/>
      <c r="F63" s="239">
        <f t="shared" ref="F63:F72" si="4">-(D63-E63)</f>
        <v>0</v>
      </c>
      <c r="G63" s="239"/>
      <c r="H63" s="263"/>
      <c r="I63" s="239"/>
      <c r="J63" s="290"/>
      <c r="K63" s="188">
        <v>0</v>
      </c>
      <c r="L63" s="290">
        <v>0</v>
      </c>
      <c r="M63" s="188">
        <v>-902.8</v>
      </c>
      <c r="N63" s="188"/>
      <c r="O63" s="188"/>
      <c r="P63" s="171"/>
      <c r="Q63" s="153"/>
      <c r="R63" s="127"/>
    </row>
    <row r="64" spans="1:70" x14ac:dyDescent="0.25">
      <c r="A64" s="24" t="str">
        <f>"4011"</f>
        <v>4011</v>
      </c>
      <c r="B64" s="5" t="str">
        <f>"Anmälningsavgifter"</f>
        <v>Anmälningsavgifter</v>
      </c>
      <c r="C64" s="210">
        <v>-95000</v>
      </c>
      <c r="D64" s="210">
        <v>-120000</v>
      </c>
      <c r="E64" s="263">
        <v>-92785.22</v>
      </c>
      <c r="F64" s="239">
        <f t="shared" si="4"/>
        <v>27214.78</v>
      </c>
      <c r="G64" s="239"/>
      <c r="H64" s="263">
        <v>-107766.41</v>
      </c>
      <c r="I64" s="239">
        <v>-75575.460000000006</v>
      </c>
      <c r="J64" s="290">
        <v>-55430</v>
      </c>
      <c r="K64" s="188">
        <v>-21495</v>
      </c>
      <c r="L64" s="290">
        <v>-58541</v>
      </c>
      <c r="M64" s="188">
        <v>-47558</v>
      </c>
      <c r="N64" s="188">
        <v>-36647</v>
      </c>
      <c r="O64" s="188">
        <v>-32651</v>
      </c>
      <c r="P64" s="171">
        <v>-22460</v>
      </c>
      <c r="Q64" s="153">
        <v>-38723</v>
      </c>
      <c r="R64" s="127">
        <v>-44933</v>
      </c>
    </row>
    <row r="65" spans="1:18" x14ac:dyDescent="0.25">
      <c r="A65" s="24" t="str">
        <f>"4012"</f>
        <v>4012</v>
      </c>
      <c r="B65" s="5" t="str">
        <f>"transportkostnader"</f>
        <v>transportkostnader</v>
      </c>
      <c r="C65" s="210">
        <v>-8000</v>
      </c>
      <c r="D65" s="210">
        <v>-7000</v>
      </c>
      <c r="E65" s="263">
        <v>-7830</v>
      </c>
      <c r="F65" s="255">
        <f t="shared" si="4"/>
        <v>-830</v>
      </c>
      <c r="G65" s="239"/>
      <c r="H65" s="263">
        <v>-5802</v>
      </c>
      <c r="I65" s="239">
        <v>-10084.43</v>
      </c>
      <c r="J65" s="290"/>
      <c r="K65" s="188">
        <v>-2978</v>
      </c>
      <c r="L65" s="290">
        <v>-2860.91</v>
      </c>
      <c r="M65" s="188">
        <v>-5802</v>
      </c>
      <c r="N65" s="188"/>
      <c r="O65" s="188">
        <v>-4867</v>
      </c>
      <c r="P65" s="171">
        <v>-3587.5</v>
      </c>
      <c r="Q65" s="153">
        <v>-3897.5</v>
      </c>
      <c r="R65" s="127">
        <v>-10378</v>
      </c>
    </row>
    <row r="66" spans="1:18" x14ac:dyDescent="0.25">
      <c r="A66" s="24" t="str">
        <f>"4013"</f>
        <v>4013</v>
      </c>
      <c r="B66" s="5" t="str">
        <f>"Kost och logi under tävlingar"</f>
        <v>Kost och logi under tävlingar</v>
      </c>
      <c r="C66" s="210">
        <v>-60000</v>
      </c>
      <c r="D66" s="210">
        <v>-45000</v>
      </c>
      <c r="E66" s="263">
        <v>-46815</v>
      </c>
      <c r="F66" s="239">
        <f t="shared" si="4"/>
        <v>-1815</v>
      </c>
      <c r="G66" s="239"/>
      <c r="H66" s="263">
        <v>-55645</v>
      </c>
      <c r="I66" s="239">
        <v>-44520</v>
      </c>
      <c r="J66" s="290">
        <v>-37100</v>
      </c>
      <c r="K66" s="188">
        <v>-7400</v>
      </c>
      <c r="L66" s="290">
        <v>-39765.21</v>
      </c>
      <c r="M66" s="188">
        <v>-48567.06</v>
      </c>
      <c r="N66" s="188">
        <v>-14830</v>
      </c>
      <c r="O66" s="188">
        <v>-11800</v>
      </c>
      <c r="P66" s="171">
        <v>-5360</v>
      </c>
      <c r="Q66" s="153">
        <v>-12490</v>
      </c>
      <c r="R66" s="127">
        <v>-3540</v>
      </c>
    </row>
    <row r="67" spans="1:18" x14ac:dyDescent="0.25">
      <c r="A67" s="24" t="str">
        <f>"4014"</f>
        <v>4014</v>
      </c>
      <c r="B67" s="5" t="str">
        <f>"Övriga tävlingskostnader"</f>
        <v>Övriga tävlingskostnader</v>
      </c>
      <c r="C67" s="210"/>
      <c r="D67" s="210"/>
      <c r="E67" s="263">
        <v>0</v>
      </c>
      <c r="F67" s="239">
        <f t="shared" si="4"/>
        <v>0</v>
      </c>
      <c r="G67" s="239"/>
      <c r="H67" s="263">
        <v>0</v>
      </c>
      <c r="I67" s="239">
        <v>-2815.56</v>
      </c>
      <c r="J67" s="290">
        <v>-700</v>
      </c>
      <c r="K67" s="188">
        <v>-649</v>
      </c>
      <c r="L67" s="290"/>
      <c r="M67" s="188"/>
      <c r="N67" s="188"/>
      <c r="O67" s="188">
        <v>-3114</v>
      </c>
      <c r="P67" s="171"/>
      <c r="Q67" s="153"/>
      <c r="R67" s="127"/>
    </row>
    <row r="68" spans="1:18" x14ac:dyDescent="0.25">
      <c r="A68" s="24" t="str">
        <f>"4020"</f>
        <v>4020</v>
      </c>
      <c r="B68" s="5" t="s">
        <v>175</v>
      </c>
      <c r="C68" s="210">
        <v>0</v>
      </c>
      <c r="D68" s="210">
        <v>-10000</v>
      </c>
      <c r="E68" s="263">
        <v>0</v>
      </c>
      <c r="F68" s="255">
        <f t="shared" si="4"/>
        <v>10000</v>
      </c>
      <c r="G68" s="239"/>
      <c r="H68" s="263">
        <v>-2259</v>
      </c>
      <c r="I68" s="239">
        <v>-6068</v>
      </c>
      <c r="J68" s="290"/>
      <c r="K68" s="188">
        <v>0</v>
      </c>
      <c r="L68" s="290">
        <v>-19782.400000000001</v>
      </c>
      <c r="M68" s="188">
        <v>-1010</v>
      </c>
      <c r="N68" s="188">
        <v>-8635</v>
      </c>
      <c r="O68" s="188">
        <v>-8784</v>
      </c>
      <c r="P68" s="171">
        <v>-2060</v>
      </c>
      <c r="Q68" s="153">
        <v>-1526</v>
      </c>
      <c r="R68" s="127">
        <v>-4627</v>
      </c>
    </row>
    <row r="69" spans="1:18" x14ac:dyDescent="0.25">
      <c r="A69" s="24" t="str">
        <f>"4021"</f>
        <v>4021</v>
      </c>
      <c r="B69" s="5" t="str">
        <f>"Anmälningsavgifter, Läger"</f>
        <v>Anmälningsavgifter, Läger</v>
      </c>
      <c r="C69" s="210"/>
      <c r="D69" s="210"/>
      <c r="E69" s="263">
        <v>0</v>
      </c>
      <c r="F69" s="239">
        <f t="shared" si="4"/>
        <v>0</v>
      </c>
      <c r="G69" s="239"/>
      <c r="H69" s="263">
        <v>-45000</v>
      </c>
      <c r="I69" s="239">
        <v>-77188</v>
      </c>
      <c r="J69" s="290">
        <v>-12800</v>
      </c>
      <c r="K69" s="188"/>
      <c r="L69" s="290"/>
      <c r="M69" s="188"/>
      <c r="N69" s="188"/>
      <c r="O69" s="188"/>
      <c r="P69" s="171"/>
      <c r="Q69" s="153"/>
      <c r="R69" s="127"/>
    </row>
    <row r="70" spans="1:18" x14ac:dyDescent="0.25">
      <c r="A70" s="24" t="str">
        <f>"4022"</f>
        <v>4022</v>
      </c>
      <c r="B70" s="5" t="str">
        <f>"Transportkostnader, Läger"</f>
        <v>Transportkostnader, Läger</v>
      </c>
      <c r="C70" s="210"/>
      <c r="D70" s="210"/>
      <c r="E70" s="263"/>
      <c r="F70" s="239">
        <f t="shared" si="4"/>
        <v>0</v>
      </c>
      <c r="G70" s="239"/>
      <c r="H70" s="263"/>
      <c r="I70" s="239"/>
      <c r="J70" s="290"/>
      <c r="K70" s="188"/>
      <c r="L70" s="290"/>
      <c r="M70" s="188"/>
      <c r="N70" s="188"/>
      <c r="O70" s="188"/>
      <c r="P70" s="171"/>
      <c r="Q70" s="153"/>
      <c r="R70" s="127"/>
    </row>
    <row r="71" spans="1:18" x14ac:dyDescent="0.25">
      <c r="A71" s="24" t="s">
        <v>30</v>
      </c>
      <c r="B71" s="5" t="s">
        <v>125</v>
      </c>
      <c r="C71" s="210"/>
      <c r="D71" s="210"/>
      <c r="E71" s="263"/>
      <c r="F71" s="239">
        <f t="shared" si="4"/>
        <v>0</v>
      </c>
      <c r="G71" s="239"/>
      <c r="H71" s="263"/>
      <c r="I71" s="239"/>
      <c r="J71" s="290"/>
      <c r="K71" s="188">
        <v>0</v>
      </c>
      <c r="L71" s="290">
        <v>0</v>
      </c>
      <c r="M71" s="188">
        <v>-35531</v>
      </c>
      <c r="N71" s="188">
        <v>-40685</v>
      </c>
      <c r="O71" s="188"/>
      <c r="P71" s="171">
        <v>-1700</v>
      </c>
      <c r="Q71" s="153"/>
      <c r="R71" s="127"/>
    </row>
    <row r="72" spans="1:18" x14ac:dyDescent="0.25">
      <c r="A72" s="24" t="str">
        <f>"4024"</f>
        <v>4024</v>
      </c>
      <c r="B72" s="5" t="str">
        <f>"SM läger"</f>
        <v>SM läger</v>
      </c>
      <c r="C72" s="210">
        <v>-75000</v>
      </c>
      <c r="D72" s="210">
        <v>-90000</v>
      </c>
      <c r="E72" s="263">
        <v>-70000</v>
      </c>
      <c r="F72" s="239">
        <f t="shared" si="4"/>
        <v>20000</v>
      </c>
      <c r="G72" s="239"/>
      <c r="H72" s="263">
        <v>-68700</v>
      </c>
      <c r="I72" s="239">
        <v>-54000</v>
      </c>
      <c r="J72" s="290"/>
      <c r="K72" s="188">
        <v>0</v>
      </c>
      <c r="L72" s="290">
        <v>-72670.100000000006</v>
      </c>
      <c r="M72" s="188">
        <v>-45362.8</v>
      </c>
      <c r="N72" s="188">
        <v>-57295</v>
      </c>
      <c r="O72" s="188">
        <v>-43666</v>
      </c>
      <c r="P72" s="171">
        <v>-33695</v>
      </c>
      <c r="Q72" s="153">
        <v>-16960</v>
      </c>
      <c r="R72" s="127">
        <v>-22174</v>
      </c>
    </row>
    <row r="73" spans="1:18" x14ac:dyDescent="0.25">
      <c r="A73" s="24" t="s">
        <v>153</v>
      </c>
      <c r="B73" s="5" t="s">
        <v>154</v>
      </c>
      <c r="C73" s="210"/>
      <c r="D73" s="210"/>
      <c r="E73" s="263">
        <v>0</v>
      </c>
      <c r="F73" s="239"/>
      <c r="G73" s="239"/>
      <c r="H73" s="263">
        <v>0</v>
      </c>
      <c r="I73" s="239">
        <v>-10014.530000000001</v>
      </c>
      <c r="J73" s="290">
        <v>-6991.85</v>
      </c>
      <c r="K73" s="188">
        <v>-2490</v>
      </c>
      <c r="L73" s="290">
        <v>-9939.5300000000007</v>
      </c>
      <c r="M73" s="188"/>
      <c r="N73" s="188"/>
      <c r="O73" s="188"/>
      <c r="P73" s="171"/>
      <c r="Q73" s="153"/>
      <c r="R73" s="127"/>
    </row>
    <row r="74" spans="1:18" ht="15" customHeight="1" x14ac:dyDescent="0.25">
      <c r="A74" s="24" t="s">
        <v>32</v>
      </c>
      <c r="B74" s="5" t="s">
        <v>164</v>
      </c>
      <c r="C74" s="210">
        <v>-50000</v>
      </c>
      <c r="D74" s="210">
        <v>-45000</v>
      </c>
      <c r="E74" s="263">
        <v>-82100</v>
      </c>
      <c r="F74" s="239">
        <f t="shared" ref="F74:F88" si="5">-(D74-E74)</f>
        <v>-37100</v>
      </c>
      <c r="G74" s="239"/>
      <c r="H74" s="263">
        <v>-35600</v>
      </c>
      <c r="I74" s="239">
        <v>-48800</v>
      </c>
      <c r="J74" s="290">
        <v>-37785</v>
      </c>
      <c r="K74" s="188">
        <v>-23624</v>
      </c>
      <c r="L74" s="290">
        <v>-169881.18</v>
      </c>
      <c r="M74" s="188">
        <v>-66249.5</v>
      </c>
      <c r="N74" s="188">
        <v>-37771</v>
      </c>
      <c r="O74" s="188">
        <v>-35043</v>
      </c>
      <c r="P74" s="171">
        <v>-51908</v>
      </c>
      <c r="Q74" s="153">
        <v>-68237</v>
      </c>
      <c r="R74" s="127">
        <v>-44493</v>
      </c>
    </row>
    <row r="75" spans="1:18" ht="15" customHeight="1" x14ac:dyDescent="0.25">
      <c r="A75" s="24" t="s">
        <v>165</v>
      </c>
      <c r="B75" s="5" t="s">
        <v>166</v>
      </c>
      <c r="C75" s="210">
        <v>-25000</v>
      </c>
      <c r="D75" s="210">
        <v>-25000</v>
      </c>
      <c r="E75" s="263">
        <v>-39200</v>
      </c>
      <c r="F75" s="239">
        <f t="shared" si="5"/>
        <v>-14200</v>
      </c>
      <c r="G75" s="239"/>
      <c r="H75" s="263">
        <v>-24000</v>
      </c>
      <c r="I75" s="239">
        <v>-6500</v>
      </c>
      <c r="J75" s="290"/>
      <c r="K75" s="188">
        <v>-25399</v>
      </c>
      <c r="L75" s="290"/>
      <c r="M75" s="188"/>
      <c r="N75" s="188"/>
      <c r="O75" s="188"/>
      <c r="P75" s="171"/>
      <c r="Q75" s="153"/>
      <c r="R75" s="127"/>
    </row>
    <row r="76" spans="1:18" x14ac:dyDescent="0.25">
      <c r="A76" s="24" t="str">
        <f>"4110"</f>
        <v>4110</v>
      </c>
      <c r="B76" s="5" t="str">
        <f>"Kostnader Kanotskolan"</f>
        <v>Kostnader Kanotskolan</v>
      </c>
      <c r="C76" s="210">
        <v>-10000</v>
      </c>
      <c r="D76" s="210">
        <v>-10000</v>
      </c>
      <c r="E76" s="263">
        <v>-9526</v>
      </c>
      <c r="F76" s="255">
        <f t="shared" si="5"/>
        <v>474</v>
      </c>
      <c r="G76" s="239"/>
      <c r="H76" s="263">
        <v>-5200.8500000000004</v>
      </c>
      <c r="I76" s="239">
        <v>-10138</v>
      </c>
      <c r="J76" s="290">
        <v>-13495.75</v>
      </c>
      <c r="K76" s="188">
        <v>-8149.49</v>
      </c>
      <c r="L76" s="290">
        <v>-9331.7900000000009</v>
      </c>
      <c r="M76" s="188">
        <v>-11894</v>
      </c>
      <c r="N76" s="188">
        <v>-20019</v>
      </c>
      <c r="O76" s="188">
        <v>-12819.4</v>
      </c>
      <c r="P76" s="171">
        <v>-14874</v>
      </c>
      <c r="Q76" s="153">
        <v>-18212</v>
      </c>
      <c r="R76" s="127">
        <v>-8052</v>
      </c>
    </row>
    <row r="77" spans="1:18" x14ac:dyDescent="0.25">
      <c r="A77" s="24" t="s">
        <v>34</v>
      </c>
      <c r="B77" s="5" t="s">
        <v>141</v>
      </c>
      <c r="C77" s="210">
        <v>-4000</v>
      </c>
      <c r="D77" s="210">
        <v>-10000</v>
      </c>
      <c r="E77" s="263">
        <v>-2265</v>
      </c>
      <c r="F77" s="255">
        <f t="shared" si="5"/>
        <v>7735</v>
      </c>
      <c r="G77" s="239"/>
      <c r="H77" s="263">
        <v>-1800</v>
      </c>
      <c r="I77" s="239">
        <v>-11850</v>
      </c>
      <c r="J77" s="290">
        <v>-3810</v>
      </c>
      <c r="K77" s="188">
        <v>0</v>
      </c>
      <c r="L77" s="290">
        <v>0</v>
      </c>
      <c r="M77" s="188">
        <v>0</v>
      </c>
      <c r="N77" s="188">
        <v>-2800</v>
      </c>
      <c r="O77" s="188">
        <v>-3200</v>
      </c>
      <c r="P77" s="171">
        <v>-4100</v>
      </c>
      <c r="Q77" s="153">
        <v>-10300</v>
      </c>
      <c r="R77" s="127">
        <v>-3600</v>
      </c>
    </row>
    <row r="78" spans="1:18" x14ac:dyDescent="0.25">
      <c r="A78" s="24" t="str">
        <f>"4120"</f>
        <v>4120</v>
      </c>
      <c r="B78" s="5" t="str">
        <f>"Kostnad ungdomsverksamhet"</f>
        <v>Kostnad ungdomsverksamhet</v>
      </c>
      <c r="C78" s="210">
        <v>-20000</v>
      </c>
      <c r="D78" s="210">
        <v>-10000</v>
      </c>
      <c r="E78" s="263">
        <v>-20309.95</v>
      </c>
      <c r="F78" s="255">
        <f t="shared" si="5"/>
        <v>-10309.950000000001</v>
      </c>
      <c r="G78" s="239"/>
      <c r="H78" s="263">
        <v>-6942.83</v>
      </c>
      <c r="I78" s="239">
        <v>-8656</v>
      </c>
      <c r="J78" s="290">
        <v>-17921.63</v>
      </c>
      <c r="K78" s="188">
        <v>-20147.099999999999</v>
      </c>
      <c r="L78" s="290">
        <v>-26262.38</v>
      </c>
      <c r="M78" s="188">
        <v>-14082</v>
      </c>
      <c r="N78" s="188">
        <v>-32802</v>
      </c>
      <c r="O78" s="188">
        <v>-20082.7</v>
      </c>
      <c r="P78" s="171">
        <v>-15443</v>
      </c>
      <c r="Q78" s="153">
        <v>-10865</v>
      </c>
      <c r="R78" s="127">
        <v>-6599</v>
      </c>
    </row>
    <row r="79" spans="1:18" x14ac:dyDescent="0.25">
      <c r="A79" s="24" t="s">
        <v>142</v>
      </c>
      <c r="B79" s="5" t="s">
        <v>37</v>
      </c>
      <c r="C79" s="210">
        <v>0</v>
      </c>
      <c r="D79" s="210">
        <v>-5000</v>
      </c>
      <c r="E79" s="263">
        <v>0</v>
      </c>
      <c r="F79" s="239">
        <f t="shared" si="5"/>
        <v>5000</v>
      </c>
      <c r="G79" s="239"/>
      <c r="H79" s="263">
        <v>0</v>
      </c>
      <c r="I79" s="239">
        <v>0</v>
      </c>
      <c r="J79" s="290"/>
      <c r="K79" s="188">
        <v>-10650</v>
      </c>
      <c r="L79" s="290">
        <v>0</v>
      </c>
      <c r="M79" s="188">
        <v>-14500</v>
      </c>
      <c r="N79" s="188">
        <v>-18859</v>
      </c>
      <c r="O79" s="188">
        <v>-10144</v>
      </c>
      <c r="P79" s="171"/>
      <c r="Q79" s="153"/>
      <c r="R79" s="127"/>
    </row>
    <row r="80" spans="1:18" x14ac:dyDescent="0.25">
      <c r="A80" s="24" t="s">
        <v>143</v>
      </c>
      <c r="B80" s="5" t="s">
        <v>144</v>
      </c>
      <c r="C80" s="210"/>
      <c r="D80" s="210"/>
      <c r="F80" s="239">
        <f t="shared" si="5"/>
        <v>0</v>
      </c>
      <c r="G80" s="239"/>
      <c r="I80" s="305"/>
      <c r="K80" s="188">
        <v>0</v>
      </c>
      <c r="L80" s="290">
        <v>-34934.9</v>
      </c>
      <c r="M80" s="188">
        <v>-8635</v>
      </c>
      <c r="N80" s="188"/>
      <c r="O80" s="188"/>
      <c r="P80" s="171"/>
      <c r="Q80" s="153"/>
      <c r="R80" s="127"/>
    </row>
    <row r="81" spans="1:23" x14ac:dyDescent="0.25">
      <c r="A81" s="24" t="s">
        <v>167</v>
      </c>
      <c r="B81" s="5" t="s">
        <v>168</v>
      </c>
      <c r="C81" s="210">
        <v>-10000</v>
      </c>
      <c r="D81" s="210">
        <v>-10000</v>
      </c>
      <c r="E81" s="263">
        <v>-44338.1</v>
      </c>
      <c r="F81" s="239">
        <f t="shared" si="5"/>
        <v>-34338.1</v>
      </c>
      <c r="G81" s="239"/>
      <c r="H81" s="263">
        <v>-10175.75</v>
      </c>
      <c r="I81" s="239">
        <v>-34451</v>
      </c>
      <c r="J81" s="290">
        <v>-71464.100000000006</v>
      </c>
      <c r="K81" s="188">
        <v>-9650</v>
      </c>
      <c r="L81" s="290"/>
      <c r="M81" s="188"/>
      <c r="N81" s="188"/>
      <c r="O81" s="188"/>
      <c r="P81" s="171"/>
      <c r="Q81" s="153"/>
      <c r="R81" s="127"/>
    </row>
    <row r="82" spans="1:23" x14ac:dyDescent="0.25">
      <c r="A82" s="24" t="s">
        <v>145</v>
      </c>
      <c r="B82" s="5" t="s">
        <v>192</v>
      </c>
      <c r="C82" s="210">
        <v>0</v>
      </c>
      <c r="D82" s="210">
        <v>-13000</v>
      </c>
      <c r="E82" s="263">
        <v>0</v>
      </c>
      <c r="F82" s="239">
        <f t="shared" si="5"/>
        <v>13000</v>
      </c>
      <c r="G82" s="239"/>
      <c r="H82" s="263">
        <v>-1500</v>
      </c>
      <c r="I82" s="239">
        <v>-1750</v>
      </c>
      <c r="J82" s="290"/>
      <c r="K82" s="188">
        <v>-18000</v>
      </c>
      <c r="L82" s="290">
        <v>-14495</v>
      </c>
      <c r="M82" s="188">
        <v>-14495</v>
      </c>
      <c r="N82" s="188"/>
      <c r="O82" s="188"/>
      <c r="P82" s="171"/>
      <c r="Q82" s="153"/>
      <c r="R82" s="127"/>
    </row>
    <row r="83" spans="1:23" x14ac:dyDescent="0.25">
      <c r="A83" s="24" t="str">
        <f>"4220"</f>
        <v>4220</v>
      </c>
      <c r="B83" s="5" t="s">
        <v>38</v>
      </c>
      <c r="C83" s="210">
        <v>0</v>
      </c>
      <c r="D83" s="210">
        <v>-40000</v>
      </c>
      <c r="E83" s="263">
        <v>-172303.81</v>
      </c>
      <c r="F83" s="255">
        <f t="shared" si="5"/>
        <v>-132303.81</v>
      </c>
      <c r="G83" s="239"/>
      <c r="H83" s="263">
        <v>-343641.5</v>
      </c>
      <c r="I83" s="239">
        <v>-129000</v>
      </c>
      <c r="J83" s="290">
        <v>-34105</v>
      </c>
      <c r="K83" s="188">
        <v>-43663</v>
      </c>
      <c r="L83" s="290">
        <v>-52093</v>
      </c>
      <c r="M83" s="188">
        <v>-114563</v>
      </c>
      <c r="N83" s="188">
        <v>-25146</v>
      </c>
      <c r="O83" s="188">
        <v>-155862.54999999999</v>
      </c>
      <c r="P83" s="171">
        <v>-117887.33</v>
      </c>
      <c r="Q83" s="153">
        <v>-72611.98</v>
      </c>
      <c r="R83" s="127">
        <v>-83127</v>
      </c>
      <c r="S83" s="161"/>
      <c r="T83" s="162"/>
      <c r="U83" s="162"/>
      <c r="V83" s="162"/>
      <c r="W83" s="4"/>
    </row>
    <row r="84" spans="1:23" x14ac:dyDescent="0.25">
      <c r="A84" s="24" t="s">
        <v>39</v>
      </c>
      <c r="B84" s="5" t="s">
        <v>40</v>
      </c>
      <c r="C84" s="210"/>
      <c r="D84" s="210"/>
      <c r="E84" s="263"/>
      <c r="F84" s="239">
        <f t="shared" si="5"/>
        <v>0</v>
      </c>
      <c r="G84" s="239"/>
      <c r="H84" s="263"/>
      <c r="I84" s="239"/>
      <c r="J84" s="290"/>
      <c r="K84" s="188"/>
      <c r="L84" s="290"/>
      <c r="M84" s="188"/>
      <c r="N84" s="188">
        <v>-7600</v>
      </c>
      <c r="O84" s="188"/>
      <c r="P84" s="171">
        <v>-2000</v>
      </c>
      <c r="Q84" s="153">
        <v>-16508</v>
      </c>
      <c r="R84" s="127">
        <v>-21032</v>
      </c>
    </row>
    <row r="85" spans="1:23" x14ac:dyDescent="0.25">
      <c r="A85" s="24" t="s">
        <v>41</v>
      </c>
      <c r="B85" s="5" t="s">
        <v>42</v>
      </c>
      <c r="C85" s="210"/>
      <c r="D85" s="210"/>
      <c r="E85" s="263"/>
      <c r="F85" s="239">
        <f t="shared" si="5"/>
        <v>0</v>
      </c>
      <c r="G85" s="239"/>
      <c r="H85" s="263"/>
      <c r="I85" s="239"/>
      <c r="J85" s="290"/>
      <c r="K85" s="188"/>
      <c r="L85" s="290"/>
      <c r="M85" s="188"/>
      <c r="N85" s="188"/>
      <c r="O85" s="188"/>
      <c r="P85" s="171"/>
      <c r="Q85" s="153">
        <v>-11300</v>
      </c>
      <c r="R85" s="127"/>
    </row>
    <row r="86" spans="1:23" x14ac:dyDescent="0.25">
      <c r="A86" s="24" t="str">
        <f>"4610"</f>
        <v>4610</v>
      </c>
      <c r="B86" s="5" t="str">
        <f>"Mötesverksamhet"</f>
        <v>Mötesverksamhet</v>
      </c>
      <c r="C86" s="210"/>
      <c r="D86" s="210"/>
      <c r="E86" s="263">
        <v>0</v>
      </c>
      <c r="F86" s="239">
        <f t="shared" si="5"/>
        <v>0</v>
      </c>
      <c r="G86" s="239"/>
      <c r="H86" s="263">
        <v>0</v>
      </c>
      <c r="I86" s="239">
        <v>0</v>
      </c>
      <c r="J86" s="290"/>
      <c r="K86" s="188">
        <v>-263.37</v>
      </c>
      <c r="L86" s="290">
        <v>-2832</v>
      </c>
      <c r="M86" s="188">
        <v>-7165.2</v>
      </c>
      <c r="N86" s="188">
        <v>-1182.45</v>
      </c>
      <c r="O86" s="188">
        <v>-4700</v>
      </c>
      <c r="P86" s="171">
        <v>-8029</v>
      </c>
      <c r="Q86" s="153">
        <v>-663</v>
      </c>
      <c r="R86" s="127">
        <v>-223</v>
      </c>
    </row>
    <row r="87" spans="1:23" x14ac:dyDescent="0.25">
      <c r="A87" s="24" t="s">
        <v>43</v>
      </c>
      <c r="B87" s="5" t="s">
        <v>44</v>
      </c>
      <c r="C87" s="210"/>
      <c r="D87" s="210"/>
      <c r="E87" s="263"/>
      <c r="F87" s="239">
        <f t="shared" si="5"/>
        <v>0</v>
      </c>
      <c r="G87" s="239"/>
      <c r="H87" s="263"/>
      <c r="I87" s="239"/>
      <c r="J87" s="290"/>
      <c r="K87" s="188"/>
      <c r="L87" s="290"/>
      <c r="M87" s="188"/>
      <c r="N87" s="188"/>
      <c r="O87" s="188"/>
      <c r="P87" s="171"/>
      <c r="Q87" s="153"/>
      <c r="R87" s="127"/>
    </row>
    <row r="88" spans="1:23" x14ac:dyDescent="0.25">
      <c r="A88" s="24" t="str">
        <f>"4710"</f>
        <v>4710</v>
      </c>
      <c r="B88" s="5" t="str">
        <f>"Märken och priser"</f>
        <v>Märken och priser</v>
      </c>
      <c r="C88" s="210">
        <v>0</v>
      </c>
      <c r="D88" s="210">
        <v>0</v>
      </c>
      <c r="E88" s="263"/>
      <c r="F88" s="239">
        <f t="shared" si="5"/>
        <v>0</v>
      </c>
      <c r="G88" s="239"/>
      <c r="H88" s="263"/>
      <c r="I88" s="239"/>
      <c r="J88" s="290"/>
      <c r="K88" s="188">
        <v>0</v>
      </c>
      <c r="L88" s="290">
        <v>-1268.8</v>
      </c>
      <c r="M88" s="188">
        <v>-6469</v>
      </c>
      <c r="N88" s="188">
        <v>-4401</v>
      </c>
      <c r="O88" s="188">
        <v>-4127</v>
      </c>
      <c r="P88" s="171">
        <v>-3630</v>
      </c>
      <c r="Q88" s="153">
        <v>-3710</v>
      </c>
      <c r="R88" s="127">
        <v>-6310</v>
      </c>
    </row>
    <row r="89" spans="1:23" x14ac:dyDescent="0.25">
      <c r="A89" s="24" t="str">
        <f>"4800"</f>
        <v>4800</v>
      </c>
      <c r="B89" s="5" t="str">
        <f>"Medlemmarnas pengar"</f>
        <v>Medlemmarnas pengar</v>
      </c>
      <c r="C89" s="210"/>
      <c r="D89" s="210"/>
      <c r="E89" s="263"/>
      <c r="F89" s="239"/>
      <c r="G89" s="239"/>
      <c r="H89" s="263"/>
      <c r="I89" s="239"/>
      <c r="J89" s="290"/>
      <c r="K89" s="188"/>
      <c r="L89" s="290"/>
      <c r="M89" s="188"/>
      <c r="N89" s="188"/>
      <c r="O89" s="188"/>
      <c r="P89" s="171"/>
      <c r="Q89" s="153"/>
      <c r="R89" s="127"/>
    </row>
    <row r="90" spans="1:23" x14ac:dyDescent="0.25">
      <c r="A90" s="26"/>
      <c r="B90" s="6"/>
      <c r="C90" s="210"/>
      <c r="D90" s="210"/>
      <c r="E90" s="263"/>
      <c r="F90" s="239"/>
      <c r="G90" s="239"/>
      <c r="H90" s="263"/>
      <c r="I90" s="239"/>
      <c r="J90" s="290"/>
      <c r="K90" s="188"/>
      <c r="L90" s="290"/>
      <c r="M90" s="188"/>
      <c r="N90" s="188"/>
      <c r="O90" s="188"/>
      <c r="P90" s="6"/>
      <c r="Q90" s="153"/>
      <c r="R90" s="129"/>
    </row>
    <row r="91" spans="1:23" s="1" customFormat="1" x14ac:dyDescent="0.25">
      <c r="A91" s="27" t="str">
        <f>"S:a Råvaror och förnödenheter mm"</f>
        <v>S:a Råvaror och förnödenheter mm</v>
      </c>
      <c r="B91" s="14"/>
      <c r="C91" s="212">
        <f>SUM(C64:C89)</f>
        <v>-357000</v>
      </c>
      <c r="D91" s="212">
        <f>SUM(D64:D89)</f>
        <v>-440000</v>
      </c>
      <c r="E91" s="265">
        <f>SUM(E63:E89)</f>
        <v>-587473.07999999996</v>
      </c>
      <c r="F91" s="240"/>
      <c r="G91" s="240"/>
      <c r="H91" s="265">
        <f>SUM(H63:H89)</f>
        <v>-714033.34000000008</v>
      </c>
      <c r="I91" s="240">
        <v>-531410.98</v>
      </c>
      <c r="J91" s="292">
        <f>SUM(J63:J89)</f>
        <v>-291603.33</v>
      </c>
      <c r="K91" s="189">
        <v>-194557.96</v>
      </c>
      <c r="L91" s="292">
        <f>SUM(L63:L89)</f>
        <v>-514658.19999999995</v>
      </c>
      <c r="M91" s="189">
        <f t="shared" ref="M91:R91" si="6">SUM(M63:M89)</f>
        <v>-442786.36</v>
      </c>
      <c r="N91" s="189">
        <f t="shared" si="6"/>
        <v>-308672.45</v>
      </c>
      <c r="O91" s="189">
        <f t="shared" si="6"/>
        <v>-350860.65</v>
      </c>
      <c r="P91" s="170">
        <f t="shared" si="6"/>
        <v>-286733.83</v>
      </c>
      <c r="Q91" s="109">
        <f t="shared" si="6"/>
        <v>-286003.48</v>
      </c>
      <c r="R91" s="119">
        <f t="shared" si="6"/>
        <v>-259088</v>
      </c>
    </row>
    <row r="92" spans="1:23" x14ac:dyDescent="0.25">
      <c r="A92" s="19"/>
      <c r="B92" s="20"/>
      <c r="C92" s="205"/>
      <c r="D92" s="205"/>
      <c r="E92" s="266"/>
      <c r="F92" s="241"/>
      <c r="G92" s="241"/>
      <c r="H92" s="266"/>
      <c r="I92" s="241"/>
      <c r="J92" s="293"/>
      <c r="K92" s="190"/>
      <c r="L92" s="293"/>
      <c r="M92" s="190"/>
      <c r="N92" s="190"/>
      <c r="O92" s="190"/>
      <c r="P92" s="168"/>
      <c r="Q92" s="155"/>
      <c r="R92" s="128"/>
    </row>
    <row r="93" spans="1:23" x14ac:dyDescent="0.25">
      <c r="A93" s="26"/>
      <c r="B93" s="6"/>
      <c r="C93" s="203"/>
      <c r="D93" s="203"/>
      <c r="E93" s="263"/>
      <c r="F93" s="239"/>
      <c r="G93" s="239"/>
      <c r="H93" s="263"/>
      <c r="I93" s="239"/>
      <c r="J93" s="290"/>
      <c r="K93" s="188"/>
      <c r="L93" s="290"/>
      <c r="M93" s="188"/>
      <c r="N93" s="188"/>
      <c r="O93" s="188"/>
      <c r="P93" s="6"/>
      <c r="Q93" s="153"/>
      <c r="R93" s="129"/>
    </row>
    <row r="94" spans="1:23" s="1" customFormat="1" x14ac:dyDescent="0.25">
      <c r="A94" s="27" t="str">
        <f>"Bruttovinst"</f>
        <v>Bruttovinst</v>
      </c>
      <c r="B94" s="14"/>
      <c r="C94" s="212">
        <f>C59+C91</f>
        <v>381500</v>
      </c>
      <c r="D94" s="212">
        <f>D59+D91</f>
        <v>187600</v>
      </c>
      <c r="E94" s="265">
        <f>E59+E91</f>
        <v>687324.12</v>
      </c>
      <c r="F94" s="240"/>
      <c r="G94" s="240"/>
      <c r="H94" s="265">
        <f>H59+H91</f>
        <v>204337.92999999993</v>
      </c>
      <c r="I94" s="240">
        <v>118452.35999999999</v>
      </c>
      <c r="J94" s="292">
        <f>J59+J91</f>
        <v>251182.72000000003</v>
      </c>
      <c r="K94" s="189">
        <v>325785.30999999994</v>
      </c>
      <c r="L94" s="292">
        <f>L59+L91</f>
        <v>188353.40000000002</v>
      </c>
      <c r="M94" s="189">
        <f t="shared" ref="M94:R94" si="7">M59+M91</f>
        <v>82312.390000000014</v>
      </c>
      <c r="N94" s="189">
        <f t="shared" si="7"/>
        <v>268565.3</v>
      </c>
      <c r="O94" s="189">
        <f t="shared" si="7"/>
        <v>124867.34999999998</v>
      </c>
      <c r="P94" s="167">
        <f t="shared" si="7"/>
        <v>147498.5</v>
      </c>
      <c r="Q94" s="154">
        <f t="shared" si="7"/>
        <v>266452.52</v>
      </c>
      <c r="R94" s="119">
        <f t="shared" si="7"/>
        <v>152795.5</v>
      </c>
    </row>
    <row r="95" spans="1:23" x14ac:dyDescent="0.25">
      <c r="A95" s="19"/>
      <c r="B95" s="20"/>
      <c r="C95" s="205"/>
      <c r="D95" s="205"/>
      <c r="E95" s="266"/>
      <c r="F95" s="241"/>
      <c r="G95" s="241"/>
      <c r="H95" s="266"/>
      <c r="I95" s="241"/>
      <c r="J95" s="293"/>
      <c r="K95" s="190"/>
      <c r="L95" s="293"/>
      <c r="M95" s="190"/>
      <c r="N95" s="190"/>
      <c r="O95" s="190"/>
      <c r="P95" s="168"/>
      <c r="Q95" s="155"/>
      <c r="R95" s="128"/>
    </row>
    <row r="96" spans="1:23" x14ac:dyDescent="0.25">
      <c r="A96" s="22" t="str">
        <f>"Övriga externa kostnader"</f>
        <v>Övriga externa kostnader</v>
      </c>
      <c r="B96" s="6"/>
      <c r="C96" s="203"/>
      <c r="D96" s="203"/>
      <c r="E96" s="263"/>
      <c r="F96" s="239"/>
      <c r="G96" s="239"/>
      <c r="H96" s="263"/>
      <c r="I96" s="239"/>
      <c r="J96" s="290"/>
      <c r="K96" s="188"/>
      <c r="L96" s="290"/>
      <c r="M96" s="188"/>
      <c r="N96" s="188"/>
      <c r="O96" s="188"/>
      <c r="P96" s="6"/>
      <c r="Q96" s="153"/>
      <c r="R96" s="129"/>
    </row>
    <row r="97" spans="1:18" x14ac:dyDescent="0.25">
      <c r="A97" s="22"/>
      <c r="B97" s="192"/>
      <c r="C97" s="249"/>
      <c r="D97" s="249"/>
      <c r="E97" s="268"/>
      <c r="F97" s="252"/>
      <c r="G97" s="252"/>
      <c r="H97" s="268"/>
      <c r="I97" s="252"/>
      <c r="J97" s="294"/>
      <c r="K97" s="251"/>
      <c r="L97" s="294"/>
      <c r="M97" s="251"/>
      <c r="N97" s="251"/>
      <c r="O97" s="251"/>
      <c r="P97" s="192"/>
      <c r="Q97" s="253"/>
      <c r="R97" s="254"/>
    </row>
    <row r="98" spans="1:18" x14ac:dyDescent="0.25">
      <c r="A98" s="24" t="s">
        <v>176</v>
      </c>
      <c r="B98" s="5" t="s">
        <v>177</v>
      </c>
      <c r="C98" s="210">
        <v>-20000</v>
      </c>
      <c r="D98" s="210">
        <v>-2500</v>
      </c>
      <c r="E98" s="263">
        <v>-16959</v>
      </c>
      <c r="F98" s="239">
        <f t="shared" ref="F98" si="8">-(D98-E98)</f>
        <v>-14459</v>
      </c>
      <c r="G98" s="239"/>
      <c r="H98" s="263">
        <v>-1152</v>
      </c>
      <c r="I98" s="239">
        <v>-2772</v>
      </c>
      <c r="J98" s="290">
        <v>-198</v>
      </c>
      <c r="K98" s="188"/>
      <c r="L98" s="290"/>
      <c r="M98" s="188"/>
      <c r="N98" s="188"/>
      <c r="O98" s="188"/>
      <c r="P98" s="171"/>
      <c r="Q98" s="153"/>
      <c r="R98" s="127"/>
    </row>
    <row r="99" spans="1:18" x14ac:dyDescent="0.25">
      <c r="A99" s="24" t="s">
        <v>147</v>
      </c>
      <c r="B99" s="5" t="s">
        <v>148</v>
      </c>
      <c r="C99" s="210"/>
      <c r="D99" s="210"/>
      <c r="E99" s="263">
        <v>0</v>
      </c>
      <c r="F99" s="239"/>
      <c r="G99" s="239"/>
      <c r="I99" s="239"/>
      <c r="J99" s="290"/>
      <c r="K99" s="188">
        <v>-4140</v>
      </c>
      <c r="L99" s="290"/>
      <c r="M99" s="188"/>
      <c r="N99" s="188">
        <v>-7077</v>
      </c>
      <c r="O99" s="188"/>
      <c r="P99" s="171"/>
      <c r="Q99" s="153"/>
      <c r="R99" s="127"/>
    </row>
    <row r="100" spans="1:18" x14ac:dyDescent="0.25">
      <c r="A100" s="24" t="s">
        <v>185</v>
      </c>
      <c r="B100" s="5" t="s">
        <v>186</v>
      </c>
      <c r="C100" s="210"/>
      <c r="D100" s="210"/>
      <c r="E100" s="263">
        <v>0</v>
      </c>
      <c r="F100" s="239"/>
      <c r="G100" s="239"/>
      <c r="H100" s="263">
        <v>-7265</v>
      </c>
      <c r="I100" s="239">
        <v>-31803.75</v>
      </c>
      <c r="J100" s="290"/>
      <c r="K100" s="188"/>
      <c r="L100" s="290"/>
      <c r="M100" s="188"/>
      <c r="N100" s="188"/>
      <c r="O100" s="188"/>
      <c r="P100" s="171"/>
      <c r="Q100" s="153"/>
      <c r="R100" s="127"/>
    </row>
    <row r="101" spans="1:18" x14ac:dyDescent="0.25">
      <c r="A101" s="24" t="str">
        <f>"5110"</f>
        <v>5110</v>
      </c>
      <c r="B101" s="5" t="str">
        <f>"Arrende"</f>
        <v>Arrende</v>
      </c>
      <c r="C101" s="210">
        <v>-5500</v>
      </c>
      <c r="D101" s="210">
        <v>-4600</v>
      </c>
      <c r="E101" s="263">
        <v>-5211</v>
      </c>
      <c r="F101" s="239">
        <f t="shared" ref="F101:F124" si="9">-(D101-E101)</f>
        <v>-611</v>
      </c>
      <c r="G101" s="239"/>
      <c r="H101" s="263">
        <v>-4413</v>
      </c>
      <c r="I101" s="239">
        <v>-4413</v>
      </c>
      <c r="J101" s="290">
        <v>-4292</v>
      </c>
      <c r="K101" s="188">
        <v>-4281</v>
      </c>
      <c r="L101" s="290">
        <v>-4213</v>
      </c>
      <c r="M101" s="188">
        <v>-4119</v>
      </c>
      <c r="N101" s="188">
        <v>-4051</v>
      </c>
      <c r="O101" s="188">
        <v>-4004</v>
      </c>
      <c r="P101" s="171">
        <v>-4000</v>
      </c>
      <c r="Q101" s="153">
        <v>-1643</v>
      </c>
      <c r="R101" s="127">
        <v>-1643</v>
      </c>
    </row>
    <row r="102" spans="1:18" x14ac:dyDescent="0.25">
      <c r="A102" s="24" t="str">
        <f>"5120"</f>
        <v>5120</v>
      </c>
      <c r="B102" s="5" t="str">
        <f>"Elektricitet"</f>
        <v>Elektricitet</v>
      </c>
      <c r="C102" s="210">
        <v>-37000</v>
      </c>
      <c r="D102" s="210">
        <v>-35000</v>
      </c>
      <c r="E102" s="263">
        <v>-34497</v>
      </c>
      <c r="F102" s="239">
        <f t="shared" si="9"/>
        <v>503</v>
      </c>
      <c r="G102" s="239"/>
      <c r="H102" s="263">
        <v>-32067</v>
      </c>
      <c r="I102" s="239">
        <v>-43101</v>
      </c>
      <c r="J102" s="290">
        <v>-31211</v>
      </c>
      <c r="K102" s="188">
        <v>-21124</v>
      </c>
      <c r="L102" s="290">
        <v>-32089</v>
      </c>
      <c r="M102" s="188">
        <v>-24974</v>
      </c>
      <c r="N102" s="188">
        <v>-20172</v>
      </c>
      <c r="O102" s="188">
        <v>-15738</v>
      </c>
      <c r="P102" s="171">
        <v>-21431</v>
      </c>
      <c r="Q102" s="153">
        <v>-24526</v>
      </c>
      <c r="R102" s="127">
        <v>-28939</v>
      </c>
    </row>
    <row r="103" spans="1:18" x14ac:dyDescent="0.25">
      <c r="A103" s="24" t="str">
        <f>"5140"</f>
        <v>5140</v>
      </c>
      <c r="B103" s="5" t="str">
        <f>"Vatten och sophämtning"</f>
        <v>Vatten och sophämtning</v>
      </c>
      <c r="C103" s="210">
        <v>-12000</v>
      </c>
      <c r="D103" s="210">
        <v>-7500</v>
      </c>
      <c r="E103" s="263">
        <v>-10654</v>
      </c>
      <c r="F103" s="239">
        <f t="shared" si="9"/>
        <v>-3154</v>
      </c>
      <c r="G103" s="239"/>
      <c r="H103" s="263">
        <v>-7485</v>
      </c>
      <c r="I103" s="239">
        <v>-6246</v>
      </c>
      <c r="J103" s="290">
        <v>-8149</v>
      </c>
      <c r="K103" s="188">
        <v>-7733</v>
      </c>
      <c r="L103" s="290">
        <v>-9609</v>
      </c>
      <c r="M103" s="188">
        <v>-9718</v>
      </c>
      <c r="N103" s="188">
        <v>-6787</v>
      </c>
      <c r="O103" s="188">
        <v>-4833</v>
      </c>
      <c r="P103" s="171">
        <v>-6464</v>
      </c>
      <c r="Q103" s="153">
        <v>-5849</v>
      </c>
      <c r="R103" s="127">
        <v>-6178</v>
      </c>
    </row>
    <row r="104" spans="1:18" x14ac:dyDescent="0.25">
      <c r="A104" s="24" t="s">
        <v>45</v>
      </c>
      <c r="B104" s="5" t="s">
        <v>46</v>
      </c>
      <c r="C104" s="210">
        <v>-50000</v>
      </c>
      <c r="D104" s="210">
        <v>-10000</v>
      </c>
      <c r="E104" s="263">
        <v>0</v>
      </c>
      <c r="F104" s="255">
        <f t="shared" si="9"/>
        <v>10000</v>
      </c>
      <c r="G104" s="239"/>
      <c r="H104" s="263"/>
      <c r="I104" s="239"/>
      <c r="J104" s="290"/>
      <c r="K104" s="188">
        <v>0</v>
      </c>
      <c r="L104" s="290">
        <v>-10145</v>
      </c>
      <c r="M104" s="188"/>
      <c r="O104" s="188"/>
      <c r="P104" s="171">
        <v>-8039.38</v>
      </c>
      <c r="Q104" s="153"/>
      <c r="R104" s="127"/>
    </row>
    <row r="105" spans="1:18" x14ac:dyDescent="0.25">
      <c r="A105" s="24" t="str">
        <f>"5170"</f>
        <v>5170</v>
      </c>
      <c r="B105" s="5" t="str">
        <f>"Fastighetsunderhåll"</f>
        <v>Fastighetsunderhåll</v>
      </c>
      <c r="C105" s="210">
        <v>0</v>
      </c>
      <c r="D105" s="210">
        <v>-30000</v>
      </c>
      <c r="E105" s="263">
        <v>0</v>
      </c>
      <c r="F105" s="239">
        <f t="shared" si="9"/>
        <v>30000</v>
      </c>
      <c r="G105" s="239"/>
      <c r="H105" s="263">
        <v>-28220</v>
      </c>
      <c r="I105" s="239"/>
      <c r="J105" s="290"/>
      <c r="K105" s="188">
        <v>-64149</v>
      </c>
      <c r="L105" s="290">
        <v>-10831.7</v>
      </c>
      <c r="M105" s="188">
        <v>-113866.87</v>
      </c>
      <c r="N105" s="188">
        <v>-135001.76999999999</v>
      </c>
      <c r="O105" s="188">
        <v>-1287</v>
      </c>
      <c r="P105" s="171">
        <v>-5540.5</v>
      </c>
      <c r="Q105" s="153">
        <v>-18240</v>
      </c>
      <c r="R105" s="127">
        <v>-53805</v>
      </c>
    </row>
    <row r="106" spans="1:18" x14ac:dyDescent="0.25">
      <c r="A106" s="24" t="s">
        <v>103</v>
      </c>
      <c r="B106" s="5" t="s">
        <v>199</v>
      </c>
      <c r="C106" s="210">
        <v>-20000</v>
      </c>
      <c r="D106" s="210"/>
      <c r="E106" s="263">
        <v>-510225</v>
      </c>
      <c r="F106" s="239"/>
      <c r="G106" s="239"/>
      <c r="H106" s="263"/>
      <c r="I106" s="239"/>
      <c r="J106" s="290"/>
      <c r="K106" s="188"/>
      <c r="L106" s="290"/>
      <c r="M106" s="188"/>
      <c r="N106" s="188"/>
      <c r="O106" s="188"/>
      <c r="P106" s="171"/>
      <c r="Q106" s="153"/>
      <c r="R106" s="127"/>
    </row>
    <row r="107" spans="1:18" x14ac:dyDescent="0.25">
      <c r="A107" s="24" t="s">
        <v>47</v>
      </c>
      <c r="B107" s="5" t="s">
        <v>48</v>
      </c>
      <c r="C107" s="210"/>
      <c r="D107" s="210"/>
      <c r="E107" s="263"/>
      <c r="F107" s="239">
        <f t="shared" si="9"/>
        <v>0</v>
      </c>
      <c r="G107" s="239"/>
      <c r="H107" s="263"/>
      <c r="I107" s="239"/>
      <c r="J107" s="290"/>
      <c r="K107" s="188"/>
      <c r="L107" s="290"/>
      <c r="M107" s="188"/>
      <c r="N107" s="188"/>
      <c r="O107" s="188"/>
      <c r="P107" s="171">
        <v>-4006</v>
      </c>
      <c r="Q107" s="153">
        <v>-61624.5</v>
      </c>
      <c r="R107" s="127"/>
    </row>
    <row r="108" spans="1:18" x14ac:dyDescent="0.25">
      <c r="A108" s="24" t="s">
        <v>200</v>
      </c>
      <c r="B108" s="5" t="s">
        <v>201</v>
      </c>
      <c r="C108" s="210"/>
      <c r="D108" s="210"/>
      <c r="E108" s="263">
        <v>-23000.5</v>
      </c>
      <c r="F108" s="239"/>
      <c r="G108" s="239"/>
      <c r="H108" s="263"/>
      <c r="I108" s="239"/>
      <c r="J108" s="290"/>
      <c r="K108" s="188"/>
      <c r="L108" s="290"/>
      <c r="M108" s="188"/>
      <c r="N108" s="188"/>
      <c r="O108" s="188"/>
      <c r="P108" s="171"/>
      <c r="Q108" s="153"/>
      <c r="R108" s="127"/>
    </row>
    <row r="109" spans="1:18" x14ac:dyDescent="0.25">
      <c r="A109" s="24" t="str">
        <f>"5410"</f>
        <v>5410</v>
      </c>
      <c r="B109" s="5" t="str">
        <f>"Förbrukningsinventarier"</f>
        <v>Förbrukningsinventarier</v>
      </c>
      <c r="C109" s="210"/>
      <c r="D109" s="210"/>
      <c r="E109" s="263">
        <v>0</v>
      </c>
      <c r="F109" s="255">
        <f t="shared" si="9"/>
        <v>0</v>
      </c>
      <c r="G109" s="239"/>
      <c r="H109" s="263">
        <v>0</v>
      </c>
      <c r="I109" s="239">
        <v>0</v>
      </c>
      <c r="J109" s="290">
        <v>-1947.85</v>
      </c>
      <c r="K109" s="188">
        <v>-3406.35</v>
      </c>
      <c r="L109" s="290">
        <v>-16461.900000000001</v>
      </c>
      <c r="M109" s="188">
        <v>-43884.6</v>
      </c>
      <c r="N109" s="188">
        <v>-2639</v>
      </c>
      <c r="O109" s="188">
        <v>-13444</v>
      </c>
      <c r="P109" s="171">
        <v>-1795</v>
      </c>
      <c r="Q109" s="153">
        <v>-1038</v>
      </c>
      <c r="R109" s="127">
        <v>-1675</v>
      </c>
    </row>
    <row r="110" spans="1:18" x14ac:dyDescent="0.25">
      <c r="A110" s="24" t="str">
        <f>"5420"</f>
        <v>5420</v>
      </c>
      <c r="B110" s="5" t="str">
        <f>"Programvaror"</f>
        <v>Programvaror</v>
      </c>
      <c r="C110" s="210">
        <v>-15000</v>
      </c>
      <c r="D110" s="210">
        <v>-10000</v>
      </c>
      <c r="E110" s="263">
        <v>-14574.78</v>
      </c>
      <c r="F110" s="239">
        <f t="shared" si="9"/>
        <v>-4574.7800000000007</v>
      </c>
      <c r="G110" s="239"/>
      <c r="H110" s="263">
        <v>-6930</v>
      </c>
      <c r="I110" s="239">
        <v>-213.68</v>
      </c>
      <c r="J110" s="290">
        <v>-206.53</v>
      </c>
      <c r="K110" s="188">
        <v>-211.21</v>
      </c>
      <c r="L110" s="290"/>
      <c r="M110" s="188"/>
      <c r="N110" s="188"/>
      <c r="O110" s="188"/>
      <c r="P110" s="171"/>
      <c r="Q110" s="153">
        <v>-1265</v>
      </c>
      <c r="R110" s="127">
        <v>-1200</v>
      </c>
    </row>
    <row r="111" spans="1:18" x14ac:dyDescent="0.25">
      <c r="A111" s="24" t="s">
        <v>49</v>
      </c>
      <c r="B111" s="5" t="s">
        <v>50</v>
      </c>
      <c r="C111" s="210">
        <v>0</v>
      </c>
      <c r="D111" s="210">
        <v>-1000</v>
      </c>
      <c r="E111" s="263">
        <v>0</v>
      </c>
      <c r="F111" s="255">
        <f t="shared" si="9"/>
        <v>1000</v>
      </c>
      <c r="G111" s="239"/>
      <c r="H111" s="263">
        <v>0</v>
      </c>
      <c r="I111" s="239">
        <v>-2949.3</v>
      </c>
      <c r="J111" s="290">
        <v>-3077.25</v>
      </c>
      <c r="K111" s="188">
        <v>-8152.97</v>
      </c>
      <c r="L111" s="290">
        <v>-9988.17</v>
      </c>
      <c r="M111" s="188">
        <v>-1525.8</v>
      </c>
      <c r="N111" s="188">
        <v>-6039.33</v>
      </c>
      <c r="O111" s="188">
        <v>-1616</v>
      </c>
      <c r="P111" s="171">
        <v>-3556</v>
      </c>
      <c r="Q111" s="153"/>
      <c r="R111" s="127"/>
    </row>
    <row r="112" spans="1:18" x14ac:dyDescent="0.25">
      <c r="A112" s="24" t="str">
        <f>"5500"</f>
        <v>5500</v>
      </c>
      <c r="B112" s="5" t="str">
        <f>"Kanotunderhåll"</f>
        <v>Kanotunderhåll</v>
      </c>
      <c r="C112" s="210">
        <v>-3000</v>
      </c>
      <c r="D112" s="210">
        <v>-3000</v>
      </c>
      <c r="E112" s="263">
        <v>0</v>
      </c>
      <c r="F112" s="255">
        <f t="shared" si="9"/>
        <v>3000</v>
      </c>
      <c r="G112" s="239"/>
      <c r="H112" s="263">
        <v>-5458.76</v>
      </c>
      <c r="I112" s="239">
        <v>-1355</v>
      </c>
      <c r="J112" s="290">
        <v>-3746.2</v>
      </c>
      <c r="K112" s="188">
        <v>-735.85</v>
      </c>
      <c r="L112" s="290">
        <v>-1212.7</v>
      </c>
      <c r="M112" s="188">
        <v>-1752.8</v>
      </c>
      <c r="N112" s="188">
        <v>0</v>
      </c>
      <c r="O112" s="188"/>
      <c r="P112" s="171">
        <v>-2258</v>
      </c>
      <c r="Q112" s="153">
        <v>-4670</v>
      </c>
      <c r="R112" s="127">
        <v>-1400</v>
      </c>
    </row>
    <row r="113" spans="1:18" x14ac:dyDescent="0.25">
      <c r="A113" s="24" t="str">
        <f>"5611"</f>
        <v>5611</v>
      </c>
      <c r="B113" s="5" t="s">
        <v>51</v>
      </c>
      <c r="C113" s="210">
        <v>-5000</v>
      </c>
      <c r="D113" s="210">
        <v>-5000</v>
      </c>
      <c r="E113" s="263">
        <v>-4185.51</v>
      </c>
      <c r="F113" s="239">
        <f t="shared" si="9"/>
        <v>814.48999999999978</v>
      </c>
      <c r="G113" s="239"/>
      <c r="H113" s="263">
        <v>-4116.42</v>
      </c>
      <c r="I113" s="239">
        <v>-4756.33</v>
      </c>
      <c r="J113" s="290">
        <v>-4358.88</v>
      </c>
      <c r="K113" s="188">
        <v>-4865.28</v>
      </c>
      <c r="L113" s="290">
        <v>-3277.79</v>
      </c>
      <c r="M113" s="188">
        <v>-2789.82</v>
      </c>
      <c r="N113" s="188">
        <v>1414.08</v>
      </c>
      <c r="O113" s="188">
        <v>-875</v>
      </c>
      <c r="P113" s="171">
        <v>-1569</v>
      </c>
      <c r="Q113" s="153">
        <v>-573</v>
      </c>
      <c r="R113" s="127">
        <v>-1867</v>
      </c>
    </row>
    <row r="114" spans="1:18" x14ac:dyDescent="0.25">
      <c r="A114" s="24" t="str">
        <f>"5612"</f>
        <v>5612</v>
      </c>
      <c r="B114" s="5" t="str">
        <f>"Försäkring"</f>
        <v>Försäkring</v>
      </c>
      <c r="C114" s="210">
        <v>-16000</v>
      </c>
      <c r="D114" s="210">
        <v>-22000</v>
      </c>
      <c r="E114" s="263">
        <v>-15005</v>
      </c>
      <c r="F114" s="255">
        <f t="shared" si="9"/>
        <v>6995</v>
      </c>
      <c r="G114" s="239"/>
      <c r="H114" s="263">
        <v>-20296</v>
      </c>
      <c r="I114" s="239">
        <v>-19409</v>
      </c>
      <c r="J114" s="290">
        <v>-19023</v>
      </c>
      <c r="K114" s="188">
        <v>-18509</v>
      </c>
      <c r="L114" s="290">
        <v>-17955</v>
      </c>
      <c r="M114" s="188">
        <v>-21275</v>
      </c>
      <c r="N114" s="188">
        <v>-16185</v>
      </c>
      <c r="O114" s="188">
        <v>-7266</v>
      </c>
      <c r="P114" s="171">
        <v>-28098</v>
      </c>
      <c r="Q114" s="153">
        <v>-27736</v>
      </c>
      <c r="R114" s="127">
        <v>-43706</v>
      </c>
    </row>
    <row r="115" spans="1:18" x14ac:dyDescent="0.25">
      <c r="A115" s="24" t="s">
        <v>52</v>
      </c>
      <c r="B115" s="5" t="s">
        <v>53</v>
      </c>
      <c r="C115" s="210">
        <v>-1500</v>
      </c>
      <c r="D115" s="210">
        <v>-1500</v>
      </c>
      <c r="E115" s="263">
        <v>-484</v>
      </c>
      <c r="F115" s="255">
        <f t="shared" si="9"/>
        <v>1016</v>
      </c>
      <c r="G115" s="239"/>
      <c r="H115" s="263">
        <v>-1420</v>
      </c>
      <c r="I115" s="239">
        <v>-610</v>
      </c>
      <c r="J115" s="290">
        <v>-954</v>
      </c>
      <c r="K115" s="188">
        <v>-525</v>
      </c>
      <c r="L115" s="290">
        <v>-1714</v>
      </c>
      <c r="M115" s="188"/>
      <c r="N115" s="188"/>
      <c r="O115" s="188"/>
      <c r="P115" s="171">
        <v>-4371</v>
      </c>
      <c r="Q115" s="153"/>
      <c r="R115" s="127">
        <v>-400</v>
      </c>
    </row>
    <row r="116" spans="1:18" x14ac:dyDescent="0.25">
      <c r="A116" s="24" t="s">
        <v>178</v>
      </c>
      <c r="B116" s="5" t="s">
        <v>179</v>
      </c>
      <c r="C116" s="210">
        <v>-75000</v>
      </c>
      <c r="D116" s="210">
        <v>-2000</v>
      </c>
      <c r="E116" s="263">
        <v>0</v>
      </c>
      <c r="F116" s="255">
        <f>-(D116-E116)</f>
        <v>2000</v>
      </c>
      <c r="G116" s="239"/>
      <c r="H116" s="263">
        <v>-8072</v>
      </c>
      <c r="I116" s="239">
        <v>0</v>
      </c>
      <c r="J116" s="290">
        <v>-599.5</v>
      </c>
      <c r="K116" s="188"/>
      <c r="L116" s="290"/>
      <c r="M116" s="188"/>
      <c r="N116" s="188"/>
      <c r="O116" s="188"/>
      <c r="P116" s="171"/>
      <c r="Q116" s="153">
        <v>-315</v>
      </c>
      <c r="R116" s="127"/>
    </row>
    <row r="117" spans="1:18" x14ac:dyDescent="0.25">
      <c r="A117" s="24" t="str">
        <f>"5620"</f>
        <v>5620</v>
      </c>
      <c r="B117" s="5" t="s">
        <v>54</v>
      </c>
      <c r="C117" s="210">
        <v>-4000</v>
      </c>
      <c r="D117" s="210">
        <v>-3000</v>
      </c>
      <c r="E117" s="263">
        <v>-3708.4</v>
      </c>
      <c r="F117" s="255">
        <f t="shared" si="9"/>
        <v>-708.40000000000009</v>
      </c>
      <c r="G117" s="239"/>
      <c r="H117" s="263">
        <v>0</v>
      </c>
      <c r="I117" s="239">
        <v>-3358</v>
      </c>
      <c r="J117" s="290">
        <v>-2295</v>
      </c>
      <c r="K117" s="188">
        <v>0</v>
      </c>
      <c r="L117" s="290">
        <v>0</v>
      </c>
      <c r="M117" s="188">
        <v>-1445.9</v>
      </c>
      <c r="N117" s="188">
        <v>-49893</v>
      </c>
      <c r="O117" s="188">
        <v>-2295</v>
      </c>
      <c r="P117" s="171">
        <v>-8015</v>
      </c>
      <c r="Q117" s="153">
        <v>-1476</v>
      </c>
      <c r="R117" s="127">
        <v>-1721</v>
      </c>
    </row>
    <row r="118" spans="1:18" x14ac:dyDescent="0.25">
      <c r="A118" s="24" t="s">
        <v>55</v>
      </c>
      <c r="B118" s="5" t="s">
        <v>56</v>
      </c>
      <c r="C118" s="210">
        <v>0</v>
      </c>
      <c r="D118" s="210">
        <v>-1000</v>
      </c>
      <c r="E118" s="263">
        <v>0</v>
      </c>
      <c r="F118" s="255">
        <f t="shared" si="9"/>
        <v>1000</v>
      </c>
      <c r="G118" s="239"/>
      <c r="H118" s="263">
        <v>-750.2</v>
      </c>
      <c r="I118" s="239"/>
      <c r="J118" s="290"/>
      <c r="K118" s="188"/>
      <c r="L118" s="290"/>
      <c r="M118" s="188"/>
      <c r="N118" s="188"/>
      <c r="O118" s="188"/>
      <c r="P118" s="171"/>
      <c r="Q118" s="153"/>
      <c r="R118" s="127"/>
    </row>
    <row r="119" spans="1:18" x14ac:dyDescent="0.25">
      <c r="A119" s="24" t="str">
        <f>"6110"</f>
        <v>6110</v>
      </c>
      <c r="B119" s="5" t="str">
        <f>"Kontorsmaterial"</f>
        <v>Kontorsmaterial</v>
      </c>
      <c r="C119" s="210"/>
      <c r="D119" s="210"/>
      <c r="E119" s="263">
        <v>0</v>
      </c>
      <c r="F119" s="255">
        <f t="shared" si="9"/>
        <v>0</v>
      </c>
      <c r="G119" s="239"/>
      <c r="H119" s="263">
        <v>0</v>
      </c>
      <c r="I119" s="239"/>
      <c r="J119" s="290"/>
      <c r="K119" s="188"/>
      <c r="L119" s="290"/>
      <c r="M119" s="188"/>
      <c r="N119" s="188"/>
      <c r="O119" s="188">
        <v>-148</v>
      </c>
      <c r="P119" s="171">
        <v>-1733</v>
      </c>
      <c r="Q119" s="153">
        <v>-138</v>
      </c>
      <c r="R119" s="127">
        <v>-115</v>
      </c>
    </row>
    <row r="120" spans="1:18" x14ac:dyDescent="0.25">
      <c r="A120" s="24" t="str">
        <f>"6210"</f>
        <v>6210</v>
      </c>
      <c r="B120" s="5" t="str">
        <f>"Telefon"</f>
        <v>Telefon</v>
      </c>
      <c r="C120" s="210">
        <f>-149*10</f>
        <v>-1490</v>
      </c>
      <c r="D120" s="210">
        <f>-149*10</f>
        <v>-1490</v>
      </c>
      <c r="E120" s="263">
        <v>0</v>
      </c>
      <c r="F120" s="255">
        <f t="shared" si="9"/>
        <v>1490</v>
      </c>
      <c r="G120" s="239"/>
      <c r="H120" s="263"/>
      <c r="I120" s="239"/>
      <c r="J120" s="290"/>
      <c r="K120" s="188"/>
      <c r="L120" s="290"/>
      <c r="M120" s="188"/>
      <c r="N120" s="188"/>
      <c r="O120" s="188"/>
      <c r="P120" s="171"/>
      <c r="Q120" s="153">
        <v>-440</v>
      </c>
      <c r="R120" s="127">
        <v>-1928</v>
      </c>
    </row>
    <row r="121" spans="1:18" x14ac:dyDescent="0.25">
      <c r="A121" s="24" t="str">
        <f>"6250"</f>
        <v>6250</v>
      </c>
      <c r="B121" s="5" t="str">
        <f>"Porto"</f>
        <v>Porto</v>
      </c>
      <c r="C121" s="210"/>
      <c r="D121" s="210"/>
      <c r="E121" s="263"/>
      <c r="F121" s="255">
        <f t="shared" si="9"/>
        <v>0</v>
      </c>
      <c r="G121" s="239"/>
      <c r="H121" s="263"/>
      <c r="I121" s="239"/>
      <c r="J121" s="290"/>
      <c r="K121" s="188"/>
      <c r="L121" s="290"/>
      <c r="M121" s="188"/>
      <c r="N121" s="188"/>
      <c r="O121" s="188">
        <v>-183</v>
      </c>
      <c r="P121" s="171">
        <v>-140</v>
      </c>
      <c r="Q121" s="153">
        <v>-60</v>
      </c>
      <c r="R121" s="127">
        <v>-60</v>
      </c>
    </row>
    <row r="122" spans="1:18" x14ac:dyDescent="0.25">
      <c r="A122" s="24" t="s">
        <v>187</v>
      </c>
      <c r="B122" s="5" t="s">
        <v>188</v>
      </c>
      <c r="C122" s="210">
        <v>-7000</v>
      </c>
      <c r="D122" s="210">
        <v>-4600</v>
      </c>
      <c r="E122" s="263">
        <v>-6596</v>
      </c>
      <c r="F122" s="255"/>
      <c r="G122" s="239"/>
      <c r="H122" s="263">
        <v>-4600</v>
      </c>
      <c r="I122" s="239">
        <v>-4600</v>
      </c>
      <c r="J122" s="290"/>
      <c r="K122" s="188"/>
      <c r="L122" s="290"/>
      <c r="M122" s="188"/>
      <c r="N122" s="188"/>
      <c r="O122" s="188"/>
      <c r="P122" s="171"/>
      <c r="Q122" s="153"/>
      <c r="R122" s="127"/>
    </row>
    <row r="123" spans="1:18" x14ac:dyDescent="0.25">
      <c r="A123" s="24" t="s">
        <v>169</v>
      </c>
      <c r="B123" s="5" t="s">
        <v>170</v>
      </c>
      <c r="C123" s="210">
        <v>-12000</v>
      </c>
      <c r="D123" s="210">
        <v>-9000</v>
      </c>
      <c r="E123" s="263">
        <v>-5254.52</v>
      </c>
      <c r="F123" s="255">
        <f t="shared" si="9"/>
        <v>3745.4799999999996</v>
      </c>
      <c r="G123" s="239"/>
      <c r="H123" s="263">
        <v>-8211.2999999999993</v>
      </c>
      <c r="I123" s="239">
        <v>-7299.5</v>
      </c>
      <c r="J123" s="290">
        <v>-11570.4</v>
      </c>
      <c r="K123" s="188">
        <v>-2667.57</v>
      </c>
      <c r="L123" s="290"/>
      <c r="M123" s="188"/>
      <c r="N123" s="188"/>
      <c r="O123" s="188"/>
      <c r="P123" s="171"/>
      <c r="Q123" s="153"/>
      <c r="R123" s="127"/>
    </row>
    <row r="124" spans="1:18" x14ac:dyDescent="0.25">
      <c r="A124" s="24" t="s">
        <v>127</v>
      </c>
      <c r="B124" s="5" t="s">
        <v>128</v>
      </c>
      <c r="C124" s="210">
        <v>-5000</v>
      </c>
      <c r="D124" s="210">
        <v>-5000</v>
      </c>
      <c r="E124" s="263">
        <v>-4597.3599999999997</v>
      </c>
      <c r="F124" s="255">
        <f t="shared" si="9"/>
        <v>402.64000000000033</v>
      </c>
      <c r="G124" s="239"/>
      <c r="H124" s="263">
        <v>-4245</v>
      </c>
      <c r="I124" s="239">
        <v>-4005.89</v>
      </c>
      <c r="J124" s="290">
        <v>-5382</v>
      </c>
      <c r="K124" s="188">
        <v>-6405</v>
      </c>
      <c r="L124" s="290">
        <v>-26174</v>
      </c>
      <c r="M124" s="188">
        <v>-27425</v>
      </c>
      <c r="N124" s="188">
        <v>-16680</v>
      </c>
      <c r="O124" s="188"/>
      <c r="P124" s="171"/>
      <c r="Q124" s="153"/>
      <c r="R124" s="127"/>
    </row>
    <row r="125" spans="1:18" x14ac:dyDescent="0.25">
      <c r="A125" s="24" t="str">
        <f>"6570"</f>
        <v>6570</v>
      </c>
      <c r="B125" s="5" t="str">
        <f>"Bankkostnader"</f>
        <v>Bankkostnader</v>
      </c>
      <c r="C125" s="210">
        <v>-1300</v>
      </c>
      <c r="D125" s="210">
        <v>-1300</v>
      </c>
      <c r="E125" s="263">
        <v>-1200</v>
      </c>
      <c r="F125" s="255">
        <f>-(D125-E125)</f>
        <v>100</v>
      </c>
      <c r="G125" s="239"/>
      <c r="H125" s="263">
        <v>-1233</v>
      </c>
      <c r="I125" s="239">
        <v>-934.5</v>
      </c>
      <c r="J125" s="290">
        <v>-994.5</v>
      </c>
      <c r="K125" s="188">
        <v>-964.5</v>
      </c>
      <c r="L125" s="290">
        <v>-971.99</v>
      </c>
      <c r="M125" s="188">
        <v>-927</v>
      </c>
      <c r="N125" s="188">
        <v>-909</v>
      </c>
      <c r="O125" s="188">
        <v>-615</v>
      </c>
      <c r="P125" s="171">
        <v>-4.5</v>
      </c>
      <c r="Q125" s="153">
        <v>-1869</v>
      </c>
      <c r="R125" s="127">
        <v>-1971</v>
      </c>
    </row>
    <row r="126" spans="1:18" x14ac:dyDescent="0.25">
      <c r="A126" s="24" t="str">
        <f>"6980"</f>
        <v>6980</v>
      </c>
      <c r="B126" s="5" t="str">
        <f>"Föreningsavgift /Licenser"</f>
        <v>Föreningsavgift /Licenser</v>
      </c>
      <c r="C126" s="210">
        <v>-15000</v>
      </c>
      <c r="D126" s="210">
        <v>-15000</v>
      </c>
      <c r="E126" s="263">
        <v>-19676</v>
      </c>
      <c r="F126" s="255">
        <f>-(D126-E126)</f>
        <v>-4676</v>
      </c>
      <c r="G126" s="239"/>
      <c r="H126" s="263">
        <v>-11420</v>
      </c>
      <c r="I126" s="239">
        <v>-22176</v>
      </c>
      <c r="J126" s="290">
        <v>-13825</v>
      </c>
      <c r="K126" s="188">
        <v>-19240</v>
      </c>
      <c r="L126" s="290">
        <v>-14550</v>
      </c>
      <c r="M126" s="188">
        <v>-18200</v>
      </c>
      <c r="N126" s="188">
        <v>-23420</v>
      </c>
      <c r="O126" s="188">
        <v>-17180</v>
      </c>
      <c r="P126" s="171">
        <v>-15790</v>
      </c>
      <c r="Q126" s="153">
        <v>-26978</v>
      </c>
      <c r="R126" s="127">
        <v>-24550</v>
      </c>
    </row>
    <row r="127" spans="1:18" x14ac:dyDescent="0.25">
      <c r="A127" s="24" t="str">
        <f>"6990"</f>
        <v>6990</v>
      </c>
      <c r="B127" s="5" t="str">
        <f>"Övriga Kostnader"</f>
        <v>Övriga Kostnader</v>
      </c>
      <c r="C127" s="210">
        <v>-12000</v>
      </c>
      <c r="D127" s="210">
        <v>-2500</v>
      </c>
      <c r="E127" s="263">
        <v>-19056.849999999999</v>
      </c>
      <c r="F127" s="255">
        <f>-(D127-E127)</f>
        <v>-16556.849999999999</v>
      </c>
      <c r="G127" s="239"/>
      <c r="H127" s="263">
        <v>-906</v>
      </c>
      <c r="I127" s="239">
        <v>-6398</v>
      </c>
      <c r="J127" s="290">
        <v>-6700</v>
      </c>
      <c r="K127" s="188">
        <v>-4478</v>
      </c>
      <c r="L127" s="290">
        <v>-4954.95</v>
      </c>
      <c r="M127" s="188">
        <v>-3187.5</v>
      </c>
      <c r="N127" s="188">
        <v>-778</v>
      </c>
      <c r="O127" s="188">
        <v>-4730.79</v>
      </c>
      <c r="P127" s="171">
        <v>-3998.66</v>
      </c>
      <c r="Q127" s="153">
        <v>-3766.5</v>
      </c>
      <c r="R127" s="127">
        <v>-14526.5</v>
      </c>
    </row>
    <row r="128" spans="1:18" x14ac:dyDescent="0.25">
      <c r="A128" s="26"/>
      <c r="B128" s="6"/>
      <c r="C128" s="210"/>
      <c r="D128" s="210"/>
      <c r="E128" s="263"/>
      <c r="F128" s="255"/>
      <c r="G128" s="239"/>
      <c r="H128" s="263"/>
      <c r="I128" s="239"/>
      <c r="J128" s="290"/>
      <c r="K128" s="188"/>
      <c r="L128" s="290"/>
      <c r="M128" s="188"/>
      <c r="N128" s="188"/>
      <c r="O128" s="188"/>
      <c r="P128" s="6"/>
      <c r="Q128" s="153"/>
      <c r="R128" s="127"/>
    </row>
    <row r="129" spans="1:70" s="1" customFormat="1" x14ac:dyDescent="0.25">
      <c r="A129" s="27" t="str">
        <f>"S:a Övriga externa kostnader"</f>
        <v>S:a Övriga externa kostnader</v>
      </c>
      <c r="B129" s="14"/>
      <c r="C129" s="212">
        <f>SUM(C98:C127)</f>
        <v>-317790</v>
      </c>
      <c r="D129" s="212">
        <f>SUM(D98:D127)</f>
        <v>-176990</v>
      </c>
      <c r="E129" s="299">
        <f>SUM(E98:E127)</f>
        <v>-694884.92</v>
      </c>
      <c r="F129" s="255">
        <f t="shared" ref="F129" si="10">-(D129-E129)</f>
        <v>-517894.92000000004</v>
      </c>
      <c r="G129" s="240"/>
      <c r="H129" s="299">
        <f>SUM(H98:H127)</f>
        <v>-158260.68</v>
      </c>
      <c r="I129" s="245">
        <v>-166400.95000000001</v>
      </c>
      <c r="J129" s="300">
        <f t="shared" ref="J129" si="11">SUM(J101:J127)</f>
        <v>-118332.10999999999</v>
      </c>
      <c r="K129" s="189">
        <v>-171587.73000000004</v>
      </c>
      <c r="L129" s="292">
        <f>SUM(L101:L127)</f>
        <v>-164148.20000000001</v>
      </c>
      <c r="M129" s="189">
        <f t="shared" ref="M129:R129" si="12">SUM(M101:M127)</f>
        <v>-275091.28999999998</v>
      </c>
      <c r="N129" s="189">
        <f t="shared" si="12"/>
        <v>-281141.02</v>
      </c>
      <c r="O129" s="189">
        <f t="shared" si="12"/>
        <v>-74214.789999999994</v>
      </c>
      <c r="P129" s="170">
        <f t="shared" si="12"/>
        <v>-120809.04000000001</v>
      </c>
      <c r="Q129" s="109">
        <f t="shared" si="12"/>
        <v>-182207</v>
      </c>
      <c r="R129" s="119">
        <f t="shared" si="12"/>
        <v>-185684.5</v>
      </c>
    </row>
    <row r="130" spans="1:70" s="1" customFormat="1" x14ac:dyDescent="0.25">
      <c r="A130" s="80"/>
      <c r="B130" s="81"/>
      <c r="C130" s="206"/>
      <c r="D130" s="206"/>
      <c r="E130" s="269"/>
      <c r="F130" s="243"/>
      <c r="G130" s="243"/>
      <c r="H130" s="269"/>
      <c r="I130" s="243"/>
      <c r="J130" s="295"/>
      <c r="K130" s="197"/>
      <c r="L130" s="295"/>
      <c r="M130" s="197"/>
      <c r="N130" s="197"/>
      <c r="O130" s="197"/>
      <c r="P130" s="172"/>
      <c r="Q130" s="158"/>
      <c r="R130" s="130"/>
    </row>
    <row r="131" spans="1:70" x14ac:dyDescent="0.25">
      <c r="A131" s="19"/>
      <c r="B131" s="20"/>
      <c r="C131" s="205"/>
      <c r="D131" s="205"/>
      <c r="E131" s="266"/>
      <c r="F131" s="241"/>
      <c r="G131" s="241"/>
      <c r="H131" s="266"/>
      <c r="I131" s="241"/>
      <c r="J131" s="293"/>
      <c r="K131" s="190"/>
      <c r="L131" s="293"/>
      <c r="M131" s="190"/>
      <c r="N131" s="190"/>
      <c r="O131" s="190"/>
      <c r="P131" s="168"/>
      <c r="Q131" s="155"/>
      <c r="R131" s="131"/>
    </row>
    <row r="132" spans="1:70" x14ac:dyDescent="0.25">
      <c r="A132" s="22" t="str">
        <f>"Personalkostnader"</f>
        <v>Personalkostnader</v>
      </c>
      <c r="B132" s="6"/>
      <c r="C132" s="203"/>
      <c r="D132" s="203"/>
      <c r="E132" s="263"/>
      <c r="F132" s="239"/>
      <c r="G132" s="239"/>
      <c r="H132" s="263"/>
      <c r="I132" s="239"/>
      <c r="J132" s="290"/>
      <c r="K132" s="188"/>
      <c r="L132" s="290"/>
      <c r="M132" s="188"/>
      <c r="N132" s="188"/>
      <c r="O132" s="188"/>
      <c r="P132" s="6"/>
      <c r="Q132" s="153"/>
      <c r="R132" s="127"/>
    </row>
    <row r="133" spans="1:70" x14ac:dyDescent="0.25">
      <c r="A133" s="24" t="s">
        <v>193</v>
      </c>
      <c r="B133" s="6" t="s">
        <v>194</v>
      </c>
      <c r="C133" s="203"/>
      <c r="D133" s="203"/>
      <c r="E133" s="263">
        <v>0</v>
      </c>
      <c r="F133" s="239"/>
      <c r="G133" s="239"/>
      <c r="H133" s="263">
        <v>-16000</v>
      </c>
      <c r="I133" s="239"/>
      <c r="J133" s="290"/>
      <c r="K133" s="188"/>
      <c r="L133" s="290"/>
      <c r="M133" s="188"/>
      <c r="N133" s="188"/>
      <c r="O133" s="188"/>
      <c r="P133" s="6"/>
      <c r="Q133" s="153"/>
      <c r="R133" s="127"/>
    </row>
    <row r="134" spans="1:70" x14ac:dyDescent="0.25">
      <c r="A134" s="24" t="s">
        <v>57</v>
      </c>
      <c r="B134" s="5" t="s">
        <v>195</v>
      </c>
      <c r="C134" s="210">
        <v>-10000</v>
      </c>
      <c r="D134" s="210">
        <v>0</v>
      </c>
      <c r="E134" s="263">
        <v>-10592.36</v>
      </c>
      <c r="F134" s="255">
        <f>-(D134-E134)</f>
        <v>-10592.36</v>
      </c>
      <c r="G134" s="239"/>
      <c r="H134" s="263">
        <v>-6774</v>
      </c>
      <c r="I134" s="239">
        <v>-1388.16</v>
      </c>
      <c r="J134" s="290"/>
      <c r="K134" s="188">
        <v>0</v>
      </c>
      <c r="L134" s="290">
        <v>0</v>
      </c>
      <c r="M134" s="188">
        <v>-1600</v>
      </c>
      <c r="N134" s="188">
        <v>-1500</v>
      </c>
      <c r="O134" s="188">
        <v>-4050</v>
      </c>
      <c r="P134" s="171">
        <v>-600</v>
      </c>
      <c r="Q134" s="153">
        <v>-900</v>
      </c>
      <c r="R134" s="127">
        <v>-2200</v>
      </c>
    </row>
    <row r="135" spans="1:70" x14ac:dyDescent="0.25">
      <c r="A135" s="24" t="s">
        <v>196</v>
      </c>
      <c r="B135" s="5" t="s">
        <v>197</v>
      </c>
      <c r="C135" s="210"/>
      <c r="D135" s="210"/>
      <c r="E135" s="263"/>
      <c r="F135" s="255"/>
      <c r="G135" s="239"/>
      <c r="H135" s="263">
        <v>-1600</v>
      </c>
      <c r="I135" s="239"/>
      <c r="J135" s="290"/>
      <c r="K135" s="188"/>
      <c r="L135" s="290"/>
      <c r="M135" s="188"/>
      <c r="N135" s="188"/>
      <c r="O135" s="188"/>
      <c r="P135" s="171"/>
      <c r="Q135" s="153"/>
      <c r="R135" s="127"/>
    </row>
    <row r="136" spans="1:70" x14ac:dyDescent="0.25">
      <c r="A136" s="24" t="str">
        <f>"7210"</f>
        <v>7210</v>
      </c>
      <c r="B136" s="5" t="str">
        <f>"Resekostnads ersättning"</f>
        <v>Resekostnads ersättning</v>
      </c>
      <c r="C136" s="210">
        <v>-5000</v>
      </c>
      <c r="D136" s="210"/>
      <c r="E136" s="263">
        <v>-3785</v>
      </c>
      <c r="F136" s="239">
        <f>-(D136-E136)</f>
        <v>-3785</v>
      </c>
      <c r="G136" s="239"/>
      <c r="H136" s="263">
        <v>0</v>
      </c>
      <c r="I136" s="239">
        <v>-1880</v>
      </c>
      <c r="J136" s="290">
        <v>-2154</v>
      </c>
      <c r="K136" s="188">
        <v>-2154</v>
      </c>
      <c r="L136" s="290">
        <v>-1365</v>
      </c>
      <c r="M136" s="188">
        <v>-6146.89</v>
      </c>
      <c r="N136" s="188">
        <v>-2673</v>
      </c>
      <c r="O136" s="188">
        <v>-851</v>
      </c>
      <c r="P136" s="171">
        <v>-610</v>
      </c>
      <c r="Q136" s="153">
        <v>-6961</v>
      </c>
      <c r="R136" s="127">
        <v>-6040</v>
      </c>
    </row>
    <row r="137" spans="1:70" x14ac:dyDescent="0.25">
      <c r="A137" s="306">
        <v>7330</v>
      </c>
      <c r="B137" t="s">
        <v>202</v>
      </c>
      <c r="C137" s="307"/>
      <c r="D137" s="210">
        <v>-10000</v>
      </c>
      <c r="E137" s="263">
        <v>-7800</v>
      </c>
      <c r="F137" s="255">
        <f>-(D137-E137)</f>
        <v>2200</v>
      </c>
      <c r="G137" s="239"/>
      <c r="H137" s="263">
        <v>-12300</v>
      </c>
      <c r="I137" s="239">
        <v>-4500</v>
      </c>
      <c r="J137" s="290">
        <v>-3000</v>
      </c>
      <c r="K137" s="188">
        <v>-16500</v>
      </c>
      <c r="L137" s="290">
        <v>-6703.5</v>
      </c>
      <c r="M137" s="188">
        <v>0</v>
      </c>
      <c r="N137" s="188">
        <v>-13629</v>
      </c>
      <c r="O137" s="188">
        <v>-7796</v>
      </c>
      <c r="P137" s="171"/>
      <c r="Q137" s="153">
        <v>-11671</v>
      </c>
      <c r="R137" s="127">
        <v>-18925</v>
      </c>
    </row>
    <row r="138" spans="1:70" x14ac:dyDescent="0.25">
      <c r="A138" s="24" t="str">
        <f>"7610"</f>
        <v>7610</v>
      </c>
      <c r="B138" s="5" t="str">
        <f>"Utbildning"</f>
        <v>Utbildning</v>
      </c>
      <c r="C138" s="210">
        <v>-10000</v>
      </c>
      <c r="D138" s="210"/>
      <c r="E138" s="263"/>
      <c r="F138" s="255"/>
      <c r="G138" s="239"/>
      <c r="H138" s="263"/>
      <c r="I138" s="239"/>
      <c r="J138" s="290"/>
      <c r="K138" s="188"/>
      <c r="L138" s="290"/>
      <c r="M138" s="188"/>
      <c r="N138" s="188"/>
      <c r="O138" s="188"/>
      <c r="P138" s="6"/>
      <c r="Q138" s="153"/>
      <c r="R138" s="127"/>
    </row>
    <row r="139" spans="1:70" s="1" customFormat="1" x14ac:dyDescent="0.25">
      <c r="A139" s="27" t="str">
        <f>"S:a Personalkostnader"</f>
        <v>S:a Personalkostnader</v>
      </c>
      <c r="B139" s="14"/>
      <c r="C139" s="212">
        <f>SUM(C134:C138)</f>
        <v>-25000</v>
      </c>
      <c r="D139" s="212">
        <f>SUM(D134:D137)</f>
        <v>-10000</v>
      </c>
      <c r="E139" s="265">
        <f>SUM(E134:E137)</f>
        <v>-22177.360000000001</v>
      </c>
      <c r="F139" s="292">
        <f t="shared" ref="F139" si="13">-(D139-E139)</f>
        <v>-12177.36</v>
      </c>
      <c r="G139" s="240"/>
      <c r="H139" s="265">
        <f>SUM(H134:H137)</f>
        <v>-20674</v>
      </c>
      <c r="I139" s="240">
        <v>-7768.16</v>
      </c>
      <c r="J139" s="292">
        <f>SUM(J134:J137)</f>
        <v>-5154</v>
      </c>
      <c r="K139" s="189">
        <v>-18654</v>
      </c>
      <c r="L139" s="292">
        <f>SUM(L134:L137)</f>
        <v>-8068.5</v>
      </c>
      <c r="M139" s="189">
        <f t="shared" ref="M139:R139" si="14">SUM(M134:M137)</f>
        <v>-7746.89</v>
      </c>
      <c r="N139" s="189">
        <f t="shared" si="14"/>
        <v>-17802</v>
      </c>
      <c r="O139" s="189">
        <f t="shared" si="14"/>
        <v>-12697</v>
      </c>
      <c r="P139" s="170">
        <f t="shared" si="14"/>
        <v>-1210</v>
      </c>
      <c r="Q139" s="154">
        <f t="shared" si="14"/>
        <v>-19532</v>
      </c>
      <c r="R139" s="119">
        <f t="shared" si="14"/>
        <v>-27165</v>
      </c>
    </row>
    <row r="140" spans="1:70" x14ac:dyDescent="0.25">
      <c r="A140" s="19"/>
      <c r="B140" s="20"/>
      <c r="C140" s="205"/>
      <c r="D140" s="205"/>
      <c r="E140" s="266"/>
      <c r="F140" s="241"/>
      <c r="G140" s="241"/>
      <c r="H140" s="266"/>
      <c r="I140" s="241"/>
      <c r="J140" s="293"/>
      <c r="K140" s="190"/>
      <c r="L140" s="293"/>
      <c r="M140" s="190"/>
      <c r="N140" s="190"/>
      <c r="O140" s="190"/>
      <c r="P140" s="168"/>
      <c r="Q140" s="155"/>
      <c r="R140" s="131"/>
    </row>
    <row r="141" spans="1:70" x14ac:dyDescent="0.25">
      <c r="A141" s="26"/>
      <c r="B141" s="6"/>
      <c r="C141" s="203"/>
      <c r="D141" s="203"/>
      <c r="E141" s="263"/>
      <c r="F141" s="239"/>
      <c r="G141" s="239"/>
      <c r="H141" s="263"/>
      <c r="I141" s="239"/>
      <c r="J141" s="290"/>
      <c r="K141" s="188"/>
      <c r="L141" s="290"/>
      <c r="M141" s="188"/>
      <c r="N141" s="188"/>
      <c r="O141" s="188"/>
      <c r="P141" s="6"/>
      <c r="Q141" s="153"/>
      <c r="R141" s="127"/>
    </row>
    <row r="142" spans="1:70" s="2" customFormat="1" x14ac:dyDescent="0.25">
      <c r="A142" s="32" t="str">
        <f>"S:a Rörelsens kostnader inkl råvaror mm"</f>
        <v>S:a Rörelsens kostnader inkl råvaror mm</v>
      </c>
      <c r="B142" s="33"/>
      <c r="C142" s="147">
        <f>SUM(C91+C129+C139)</f>
        <v>-699790</v>
      </c>
      <c r="D142" s="147">
        <f>SUM(D91+D129+D139)</f>
        <v>-626990</v>
      </c>
      <c r="E142" s="242">
        <f>E91+E129+E139</f>
        <v>-1304535.3600000001</v>
      </c>
      <c r="F142" s="242"/>
      <c r="G142" s="242"/>
      <c r="H142" s="242">
        <f>H91+H129+H139</f>
        <v>-892968.02</v>
      </c>
      <c r="I142" s="242">
        <v>-705580.09</v>
      </c>
      <c r="J142" s="163">
        <f>J91+J129+J139</f>
        <v>-415089.44</v>
      </c>
      <c r="K142" s="163">
        <v>-384799.69000000006</v>
      </c>
      <c r="L142" s="163">
        <f>L91+L129+L139</f>
        <v>-686874.89999999991</v>
      </c>
      <c r="M142" s="163">
        <f>M91+M129+M139</f>
        <v>-725624.53999999992</v>
      </c>
      <c r="N142" s="163">
        <f>N91+N129+N139</f>
        <v>-607615.47</v>
      </c>
      <c r="O142" s="163">
        <f>O91+O129+O139</f>
        <v>-437772.44</v>
      </c>
      <c r="P142" s="149">
        <f>P91+P139+P129</f>
        <v>-408752.87</v>
      </c>
      <c r="Q142" s="110">
        <f>Q91+Q139+Q129</f>
        <v>-487742.48</v>
      </c>
      <c r="R142" s="111">
        <f>R91+R129+R139</f>
        <v>-471937.5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s="2" customFormat="1" x14ac:dyDescent="0.25">
      <c r="A143" s="51"/>
      <c r="B143" s="17"/>
      <c r="C143" s="207"/>
      <c r="D143" s="207"/>
      <c r="E143" s="270"/>
      <c r="F143" s="244"/>
      <c r="G143" s="244"/>
      <c r="H143" s="270"/>
      <c r="I143" s="244"/>
      <c r="J143" s="296"/>
      <c r="K143" s="191"/>
      <c r="L143" s="296"/>
      <c r="M143" s="191"/>
      <c r="N143" s="191"/>
      <c r="O143" s="191"/>
      <c r="P143" s="81"/>
      <c r="Q143" s="156"/>
      <c r="R143" s="13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s="2" customFormat="1" x14ac:dyDescent="0.25">
      <c r="A144" s="51" t="s">
        <v>59</v>
      </c>
      <c r="B144" s="17" t="s">
        <v>60</v>
      </c>
      <c r="C144" s="208">
        <v>5500</v>
      </c>
      <c r="D144" s="208">
        <v>2000</v>
      </c>
      <c r="E144" s="271">
        <v>5537.86</v>
      </c>
      <c r="F144" s="245"/>
      <c r="G144" s="245"/>
      <c r="H144" s="271">
        <v>5247.04</v>
      </c>
      <c r="I144" s="245">
        <v>552.54999999999995</v>
      </c>
      <c r="J144" s="297"/>
      <c r="K144" s="198"/>
      <c r="L144" s="297"/>
      <c r="M144" s="198"/>
      <c r="N144" s="198"/>
      <c r="O144" s="198"/>
      <c r="P144" s="17">
        <v>118.94</v>
      </c>
      <c r="Q144" s="157">
        <v>7419</v>
      </c>
      <c r="R144" s="132">
        <v>708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x14ac:dyDescent="0.25">
      <c r="A145" s="26"/>
      <c r="B145" s="6"/>
      <c r="C145" s="203"/>
      <c r="D145" s="203"/>
      <c r="E145" s="263"/>
      <c r="F145" s="239"/>
      <c r="G145" s="239"/>
      <c r="H145" s="263"/>
      <c r="I145" s="239"/>
      <c r="J145" s="290"/>
      <c r="K145" s="188"/>
      <c r="L145" s="290"/>
      <c r="M145" s="188"/>
      <c r="N145" s="188"/>
      <c r="O145" s="188"/>
      <c r="P145" s="6"/>
      <c r="Q145" s="153"/>
      <c r="R145" s="127"/>
    </row>
    <row r="146" spans="1:70" s="3" customFormat="1" x14ac:dyDescent="0.25">
      <c r="A146" s="113" t="str">
        <f>"Beräknat resultat"</f>
        <v>Beräknat resultat</v>
      </c>
      <c r="B146" s="114"/>
      <c r="C146" s="150">
        <f>C59+C142+C144</f>
        <v>44210</v>
      </c>
      <c r="D146" s="150">
        <f>D59+D142+D144</f>
        <v>2610</v>
      </c>
      <c r="E146" s="150">
        <f>E59+E142+E144</f>
        <v>-24200.300000000148</v>
      </c>
      <c r="F146" s="164">
        <f>-(D146-E146)</f>
        <v>-26810.300000000148</v>
      </c>
      <c r="G146" s="246"/>
      <c r="H146" s="150">
        <f>H59+H142+H144</f>
        <v>30650.29</v>
      </c>
      <c r="I146" s="246">
        <v>-55164.2</v>
      </c>
      <c r="J146" s="164">
        <f>J59+J142+J144</f>
        <v>127696.61000000004</v>
      </c>
      <c r="K146" s="164">
        <v>135543.5799999999</v>
      </c>
      <c r="L146" s="164">
        <f>L59+L142+L144</f>
        <v>16136.70000000007</v>
      </c>
      <c r="M146" s="164">
        <f t="shared" ref="M146:R146" si="15">M59+M142+M144</f>
        <v>-200525.78999999992</v>
      </c>
      <c r="N146" s="164">
        <f t="shared" si="15"/>
        <v>-30377.719999999972</v>
      </c>
      <c r="O146" s="164">
        <f t="shared" si="15"/>
        <v>37955.56</v>
      </c>
      <c r="P146" s="150">
        <f t="shared" si="15"/>
        <v>25598.40000000002</v>
      </c>
      <c r="Q146" s="115">
        <f t="shared" si="15"/>
        <v>72132.520000000019</v>
      </c>
      <c r="R146" s="116">
        <f t="shared" si="15"/>
        <v>-59346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x14ac:dyDescent="0.25">
      <c r="A147" s="37"/>
      <c r="B147" s="15"/>
      <c r="C147" s="15"/>
      <c r="D147" s="15"/>
      <c r="E147" s="15"/>
      <c r="F147" s="247"/>
      <c r="G147" s="247"/>
      <c r="H147" s="15"/>
      <c r="I147" s="247"/>
      <c r="J147" s="15"/>
      <c r="K147" s="15"/>
      <c r="L147" s="15"/>
      <c r="M147" s="15"/>
      <c r="N147" s="15"/>
      <c r="O147" s="15"/>
      <c r="P147" s="15"/>
      <c r="Q147" s="109"/>
      <c r="R147" s="15"/>
    </row>
    <row r="148" spans="1:70" x14ac:dyDescent="0.25">
      <c r="E148"/>
      <c r="H148"/>
    </row>
    <row r="149" spans="1:70" x14ac:dyDescent="0.25">
      <c r="E149"/>
      <c r="H149"/>
    </row>
    <row r="150" spans="1:70" x14ac:dyDescent="0.25">
      <c r="E150"/>
      <c r="H150"/>
    </row>
    <row r="151" spans="1:70" x14ac:dyDescent="0.25">
      <c r="E151"/>
      <c r="H151"/>
    </row>
    <row r="152" spans="1:70" x14ac:dyDescent="0.25">
      <c r="E152"/>
      <c r="H152"/>
    </row>
    <row r="153" spans="1:70" x14ac:dyDescent="0.25">
      <c r="E153"/>
      <c r="H153"/>
    </row>
    <row r="154" spans="1:70" x14ac:dyDescent="0.25">
      <c r="E154"/>
      <c r="H154"/>
    </row>
    <row r="155" spans="1:70" x14ac:dyDescent="0.25">
      <c r="E155"/>
      <c r="H155"/>
    </row>
    <row r="156" spans="1:70" x14ac:dyDescent="0.25">
      <c r="E156"/>
      <c r="H156"/>
    </row>
    <row r="157" spans="1:70" x14ac:dyDescent="0.25">
      <c r="E157"/>
      <c r="H157"/>
    </row>
    <row r="158" spans="1:70" x14ac:dyDescent="0.25">
      <c r="E158"/>
      <c r="H158"/>
    </row>
    <row r="159" spans="1:70" x14ac:dyDescent="0.25">
      <c r="E159"/>
      <c r="H159"/>
    </row>
    <row r="160" spans="1:70" x14ac:dyDescent="0.25">
      <c r="E160"/>
      <c r="H160"/>
    </row>
    <row r="161" spans="5:8" x14ac:dyDescent="0.25">
      <c r="E161"/>
      <c r="H161"/>
    </row>
    <row r="162" spans="5:8" x14ac:dyDescent="0.25">
      <c r="E162"/>
      <c r="H162"/>
    </row>
    <row r="163" spans="5:8" x14ac:dyDescent="0.25">
      <c r="E163"/>
      <c r="H163"/>
    </row>
    <row r="164" spans="5:8" x14ac:dyDescent="0.25">
      <c r="E164"/>
      <c r="H164"/>
    </row>
    <row r="165" spans="5:8" x14ac:dyDescent="0.25">
      <c r="E165"/>
      <c r="H165"/>
    </row>
    <row r="166" spans="5:8" x14ac:dyDescent="0.25">
      <c r="E166"/>
      <c r="H166"/>
    </row>
    <row r="167" spans="5:8" x14ac:dyDescent="0.25">
      <c r="E167"/>
      <c r="H167"/>
    </row>
    <row r="168" spans="5:8" x14ac:dyDescent="0.25">
      <c r="E168"/>
      <c r="H168"/>
    </row>
    <row r="169" spans="5:8" x14ac:dyDescent="0.25">
      <c r="E169"/>
      <c r="H169"/>
    </row>
    <row r="170" spans="5:8" x14ac:dyDescent="0.25">
      <c r="E170"/>
      <c r="H170"/>
    </row>
    <row r="171" spans="5:8" x14ac:dyDescent="0.25">
      <c r="E171"/>
      <c r="H171"/>
    </row>
    <row r="172" spans="5:8" x14ac:dyDescent="0.25">
      <c r="E172"/>
      <c r="H172"/>
    </row>
    <row r="173" spans="5:8" x14ac:dyDescent="0.25">
      <c r="E173"/>
      <c r="H173"/>
    </row>
    <row r="174" spans="5:8" x14ac:dyDescent="0.25">
      <c r="E174"/>
      <c r="H174"/>
    </row>
    <row r="175" spans="5:8" x14ac:dyDescent="0.25">
      <c r="E175"/>
      <c r="H175"/>
    </row>
    <row r="176" spans="5:8" x14ac:dyDescent="0.25">
      <c r="E176"/>
      <c r="H176"/>
    </row>
    <row r="177" spans="5:8" x14ac:dyDescent="0.25">
      <c r="E177"/>
      <c r="H177"/>
    </row>
    <row r="178" spans="5:8" x14ac:dyDescent="0.25">
      <c r="E178"/>
      <c r="H178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7E47-0E75-469E-9537-810EAD6A6F1F}">
  <dimension ref="A1:BS178"/>
  <sheetViews>
    <sheetView tabSelected="1" topLeftCell="A127" workbookViewId="0">
      <selection activeCell="C146" sqref="C146"/>
    </sheetView>
  </sheetViews>
  <sheetFormatPr defaultRowHeight="15" x14ac:dyDescent="0.25"/>
  <cols>
    <col min="1" max="1" width="12.28515625" customWidth="1"/>
    <col min="2" max="2" width="31.42578125" bestFit="1" customWidth="1"/>
    <col min="3" max="4" width="14.5703125" bestFit="1" customWidth="1"/>
    <col min="5" max="5" width="15.7109375" style="272" customWidth="1"/>
    <col min="6" max="6" width="14.42578125" style="248" bestFit="1" customWidth="1"/>
    <col min="7" max="7" width="4.5703125" style="248" customWidth="1"/>
    <col min="8" max="11" width="15.7109375" customWidth="1"/>
    <col min="12" max="12" width="14.5703125" bestFit="1" customWidth="1"/>
    <col min="13" max="16" width="15.7109375" customWidth="1"/>
    <col min="17" max="18" width="14.28515625" customWidth="1"/>
    <col min="19" max="19" width="13.7109375" style="4" customWidth="1"/>
    <col min="20" max="20" width="20.7109375" bestFit="1" customWidth="1"/>
    <col min="21" max="21" width="16" customWidth="1"/>
    <col min="22" max="22" width="12.7109375" customWidth="1"/>
    <col min="23" max="23" width="32.7109375" bestFit="1" customWidth="1"/>
    <col min="24" max="24" width="11.7109375" bestFit="1" customWidth="1"/>
  </cols>
  <sheetData>
    <row r="1" spans="1:19" hidden="1" x14ac:dyDescent="0.25">
      <c r="A1" s="9"/>
      <c r="C1" s="47"/>
      <c r="D1" s="47"/>
      <c r="E1" s="257"/>
      <c r="F1" s="233"/>
      <c r="G1" s="233"/>
      <c r="H1" s="194"/>
      <c r="I1" s="194"/>
      <c r="J1" s="194"/>
      <c r="K1" s="194"/>
      <c r="L1" s="194"/>
      <c r="M1" s="194"/>
      <c r="N1" s="194"/>
      <c r="O1" s="194"/>
      <c r="P1" s="194"/>
      <c r="Q1" s="47"/>
      <c r="R1" s="47"/>
      <c r="S1" s="10"/>
    </row>
    <row r="2" spans="1:19" hidden="1" x14ac:dyDescent="0.25">
      <c r="A2" s="9"/>
      <c r="B2" s="87"/>
      <c r="C2" s="87"/>
      <c r="D2" s="87"/>
      <c r="E2" s="258"/>
      <c r="F2" s="234"/>
      <c r="G2" s="234"/>
      <c r="H2" s="195"/>
      <c r="I2" s="195"/>
      <c r="J2" s="195"/>
      <c r="K2" s="195"/>
      <c r="L2" s="195"/>
      <c r="M2" s="195"/>
      <c r="N2" s="195"/>
      <c r="O2" s="195"/>
      <c r="P2" s="195"/>
      <c r="Q2" s="87"/>
      <c r="R2" s="7"/>
      <c r="S2" s="10"/>
    </row>
    <row r="3" spans="1:19" x14ac:dyDescent="0.25">
      <c r="A3" s="6"/>
      <c r="B3" s="47" t="s">
        <v>0</v>
      </c>
      <c r="C3" s="200">
        <v>2026</v>
      </c>
      <c r="D3" s="200">
        <v>2025</v>
      </c>
      <c r="E3" s="259">
        <v>2025</v>
      </c>
      <c r="F3" s="235"/>
      <c r="G3" s="235"/>
      <c r="H3" s="58">
        <v>2024</v>
      </c>
      <c r="I3" s="58">
        <v>2023</v>
      </c>
      <c r="J3" s="58">
        <v>2022</v>
      </c>
      <c r="K3" s="58">
        <v>2021</v>
      </c>
      <c r="L3" s="58">
        <v>2020</v>
      </c>
      <c r="M3" s="58">
        <v>2019</v>
      </c>
      <c r="N3" s="58">
        <v>2018</v>
      </c>
      <c r="O3" s="58">
        <v>2017</v>
      </c>
      <c r="P3" s="58">
        <v>2016</v>
      </c>
      <c r="Q3" s="58">
        <v>2015</v>
      </c>
      <c r="R3" s="58">
        <v>2014</v>
      </c>
      <c r="S3" s="121">
        <v>2013</v>
      </c>
    </row>
    <row r="4" spans="1:19" ht="15.75" thickBot="1" x14ac:dyDescent="0.3">
      <c r="A4" s="16"/>
      <c r="B4" s="16"/>
      <c r="C4" s="201" t="s">
        <v>4</v>
      </c>
      <c r="D4" s="201" t="s">
        <v>4</v>
      </c>
      <c r="E4" s="260" t="s">
        <v>5</v>
      </c>
      <c r="F4" s="236" t="s">
        <v>129</v>
      </c>
      <c r="G4" s="236"/>
      <c r="H4" s="59" t="s">
        <v>5</v>
      </c>
      <c r="I4" s="59" t="s">
        <v>5</v>
      </c>
      <c r="J4" s="59" t="s">
        <v>5</v>
      </c>
      <c r="K4" s="59" t="s">
        <v>5</v>
      </c>
      <c r="L4" s="59" t="s">
        <v>5</v>
      </c>
      <c r="M4" s="59" t="s">
        <v>5</v>
      </c>
      <c r="N4" s="59" t="s">
        <v>5</v>
      </c>
      <c r="O4" s="59" t="s">
        <v>5</v>
      </c>
      <c r="P4" s="59" t="s">
        <v>5</v>
      </c>
      <c r="Q4" s="59" t="s">
        <v>5</v>
      </c>
      <c r="R4" s="59" t="s">
        <v>5</v>
      </c>
      <c r="S4" s="122" t="s">
        <v>5</v>
      </c>
    </row>
    <row r="5" spans="1:19" x14ac:dyDescent="0.25">
      <c r="A5" s="19"/>
      <c r="B5" s="20"/>
      <c r="C5" s="202"/>
      <c r="D5" s="202"/>
      <c r="E5" s="261"/>
      <c r="F5" s="237" t="s">
        <v>149</v>
      </c>
      <c r="G5" s="237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23"/>
    </row>
    <row r="6" spans="1:19" x14ac:dyDescent="0.25">
      <c r="A6" s="22" t="str">
        <f>"Rörelsens intäkter och lagerförändring"</f>
        <v>Rörelsens intäkter och lagerförändring</v>
      </c>
      <c r="B6" s="6"/>
      <c r="C6" s="203"/>
      <c r="D6" s="203"/>
      <c r="E6" s="262"/>
      <c r="F6" s="238"/>
      <c r="G6" s="238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24"/>
    </row>
    <row r="7" spans="1:19" x14ac:dyDescent="0.25">
      <c r="A7" s="22" t="str">
        <f>"Nettoomsättning"</f>
        <v>Nettoomsättning</v>
      </c>
      <c r="B7" s="6"/>
      <c r="C7" s="203"/>
      <c r="D7" s="203"/>
      <c r="E7" s="262"/>
      <c r="F7" s="238"/>
      <c r="G7" s="23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24"/>
    </row>
    <row r="8" spans="1:19" x14ac:dyDescent="0.25">
      <c r="A8" s="186" t="str">
        <f>"3110"</f>
        <v>3110</v>
      </c>
      <c r="B8" s="5" t="str">
        <f>"Medlemsavgifter"</f>
        <v>Medlemsavgifter</v>
      </c>
      <c r="C8" s="210">
        <v>89500</v>
      </c>
      <c r="D8" s="210">
        <v>35000</v>
      </c>
      <c r="E8" s="263">
        <v>89500</v>
      </c>
      <c r="F8" s="239">
        <f>-(D8-E8)</f>
        <v>54500</v>
      </c>
      <c r="G8" s="239"/>
      <c r="H8" s="290">
        <f>'2025'!E8</f>
        <v>31000</v>
      </c>
      <c r="I8" s="290">
        <v>21200</v>
      </c>
      <c r="J8" s="290">
        <v>26600</v>
      </c>
      <c r="K8" s="290">
        <v>21800</v>
      </c>
      <c r="L8" s="188">
        <v>24600</v>
      </c>
      <c r="M8" s="290">
        <v>88115</v>
      </c>
      <c r="N8" s="188">
        <v>83200</v>
      </c>
      <c r="O8" s="188">
        <v>95550</v>
      </c>
      <c r="P8" s="188">
        <v>94050</v>
      </c>
      <c r="Q8" s="165">
        <v>92225</v>
      </c>
      <c r="R8" s="153">
        <v>91000</v>
      </c>
      <c r="S8" s="125">
        <v>83650</v>
      </c>
    </row>
    <row r="9" spans="1:19" x14ac:dyDescent="0.25">
      <c r="A9" s="186" t="s">
        <v>155</v>
      </c>
      <c r="B9" s="5" t="s">
        <v>156</v>
      </c>
      <c r="C9" s="210">
        <v>39450</v>
      </c>
      <c r="D9" s="210">
        <v>61000</v>
      </c>
      <c r="E9" s="263">
        <v>39450</v>
      </c>
      <c r="F9" s="239">
        <f>-(D9-E9)</f>
        <v>-21550</v>
      </c>
      <c r="G9" s="239"/>
      <c r="H9" s="290">
        <f>'2025'!E9</f>
        <v>60800</v>
      </c>
      <c r="I9" s="290">
        <v>50100</v>
      </c>
      <c r="J9" s="290">
        <v>54500</v>
      </c>
      <c r="K9" s="290">
        <v>53500</v>
      </c>
      <c r="L9" s="188">
        <v>50300</v>
      </c>
      <c r="M9" s="290"/>
      <c r="N9" s="188"/>
      <c r="O9" s="188"/>
      <c r="P9" s="188"/>
      <c r="Q9" s="165"/>
      <c r="R9" s="153"/>
      <c r="S9" s="125"/>
    </row>
    <row r="10" spans="1:19" x14ac:dyDescent="0.25">
      <c r="A10" s="186" t="str">
        <f>"3120"</f>
        <v>3120</v>
      </c>
      <c r="B10" s="5" t="str">
        <f>"Intäkter kanothyra"</f>
        <v>Intäkter kanothyra</v>
      </c>
      <c r="C10" s="210">
        <v>3000</v>
      </c>
      <c r="D10" s="210">
        <v>8000</v>
      </c>
      <c r="E10" s="263">
        <v>3000</v>
      </c>
      <c r="F10" s="239">
        <f t="shared" ref="F10:F33" si="0">-(D10-E10)</f>
        <v>-5000</v>
      </c>
      <c r="G10" s="239"/>
      <c r="H10" s="290">
        <f>'2025'!E10</f>
        <v>5450</v>
      </c>
      <c r="I10" s="290">
        <v>10450</v>
      </c>
      <c r="J10" s="290">
        <v>13200</v>
      </c>
      <c r="K10" s="290">
        <v>8900</v>
      </c>
      <c r="L10" s="188">
        <v>11050</v>
      </c>
      <c r="M10" s="290">
        <v>20000</v>
      </c>
      <c r="N10" s="188">
        <v>14605</v>
      </c>
      <c r="O10" s="188">
        <v>24825</v>
      </c>
      <c r="P10" s="188">
        <v>15440</v>
      </c>
      <c r="Q10" s="165">
        <v>13125</v>
      </c>
      <c r="R10" s="153">
        <v>17450</v>
      </c>
      <c r="S10" s="125">
        <v>13450</v>
      </c>
    </row>
    <row r="11" spans="1:19" x14ac:dyDescent="0.25">
      <c r="A11" s="186" t="str">
        <f>"3130"</f>
        <v>3130</v>
      </c>
      <c r="B11" s="5" t="str">
        <f>"Intäkter kanotplats"</f>
        <v>Intäkter kanotplats</v>
      </c>
      <c r="C11" s="210">
        <v>5500</v>
      </c>
      <c r="D11" s="210">
        <v>25000</v>
      </c>
      <c r="E11" s="263">
        <v>5500</v>
      </c>
      <c r="F11" s="239">
        <f t="shared" si="0"/>
        <v>-19500</v>
      </c>
      <c r="G11" s="239"/>
      <c r="H11" s="290">
        <f>'2025'!E11</f>
        <v>19450</v>
      </c>
      <c r="I11" s="290">
        <v>19550</v>
      </c>
      <c r="J11" s="290">
        <v>15650</v>
      </c>
      <c r="K11" s="290">
        <v>18300</v>
      </c>
      <c r="L11" s="188">
        <v>20803.59</v>
      </c>
      <c r="M11" s="290">
        <v>19450</v>
      </c>
      <c r="N11" s="188">
        <v>22300</v>
      </c>
      <c r="O11" s="188">
        <v>21800</v>
      </c>
      <c r="P11" s="188">
        <v>24625</v>
      </c>
      <c r="Q11" s="165">
        <v>23375</v>
      </c>
      <c r="R11" s="153">
        <v>17713</v>
      </c>
      <c r="S11" s="125">
        <v>18175</v>
      </c>
    </row>
    <row r="12" spans="1:19" x14ac:dyDescent="0.25">
      <c r="A12" s="186" t="str">
        <f>"3140"</f>
        <v>3140</v>
      </c>
      <c r="B12" s="5" t="s">
        <v>171</v>
      </c>
      <c r="C12" s="210">
        <v>30000</v>
      </c>
      <c r="D12" s="210">
        <v>30000</v>
      </c>
      <c r="E12" s="263">
        <v>34270</v>
      </c>
      <c r="F12" s="239">
        <f t="shared" si="0"/>
        <v>4270</v>
      </c>
      <c r="G12" s="239"/>
      <c r="H12" s="290">
        <f>'2025'!E12</f>
        <v>28560</v>
      </c>
      <c r="I12" s="290">
        <v>11610</v>
      </c>
      <c r="J12" s="290">
        <v>41280</v>
      </c>
      <c r="K12" s="290">
        <v>66520</v>
      </c>
      <c r="L12" s="188">
        <v>61190</v>
      </c>
      <c r="M12" s="290">
        <v>28330</v>
      </c>
      <c r="N12" s="188">
        <v>13980</v>
      </c>
      <c r="O12" s="188">
        <v>19500</v>
      </c>
      <c r="P12" s="188">
        <v>17550</v>
      </c>
      <c r="Q12" s="165">
        <v>25525</v>
      </c>
      <c r="R12" s="153">
        <v>35750</v>
      </c>
      <c r="S12" s="125">
        <v>24535</v>
      </c>
    </row>
    <row r="13" spans="1:19" x14ac:dyDescent="0.25">
      <c r="A13" s="186" t="str">
        <f>"3142"</f>
        <v>3142</v>
      </c>
      <c r="B13" s="5" t="str">
        <f>"Prova-på-paddling"</f>
        <v>Prova-på-paddling</v>
      </c>
      <c r="C13" s="210">
        <v>0</v>
      </c>
      <c r="D13" s="210">
        <v>0</v>
      </c>
      <c r="E13" s="263"/>
      <c r="F13" s="239">
        <f t="shared" si="0"/>
        <v>0</v>
      </c>
      <c r="G13" s="239"/>
      <c r="H13" s="290">
        <f>'2025'!E13</f>
        <v>0</v>
      </c>
      <c r="I13" s="290">
        <v>0</v>
      </c>
      <c r="J13" s="290">
        <v>11850</v>
      </c>
      <c r="K13" s="290">
        <v>1700</v>
      </c>
      <c r="L13" s="188">
        <v>2100</v>
      </c>
      <c r="M13" s="290">
        <v>1300</v>
      </c>
      <c r="N13" s="188">
        <v>0</v>
      </c>
      <c r="O13" s="188">
        <v>10500</v>
      </c>
      <c r="P13" s="188">
        <v>13600</v>
      </c>
      <c r="Q13" s="165">
        <v>12400</v>
      </c>
      <c r="R13" s="153">
        <v>18000</v>
      </c>
      <c r="S13" s="125">
        <v>7200</v>
      </c>
    </row>
    <row r="14" spans="1:19" x14ac:dyDescent="0.25">
      <c r="A14" s="186" t="s">
        <v>6</v>
      </c>
      <c r="B14" s="5" t="s">
        <v>7</v>
      </c>
      <c r="C14" s="210">
        <v>20000</v>
      </c>
      <c r="D14" s="210">
        <v>20000</v>
      </c>
      <c r="E14" s="263">
        <v>22365</v>
      </c>
      <c r="F14" s="239">
        <f t="shared" si="0"/>
        <v>2365</v>
      </c>
      <c r="G14" s="239"/>
      <c r="H14" s="290">
        <f>'2025'!E14</f>
        <v>31230</v>
      </c>
      <c r="I14" s="290">
        <v>69774</v>
      </c>
      <c r="J14" s="290">
        <v>30140</v>
      </c>
      <c r="K14" s="290"/>
      <c r="L14" s="188">
        <v>0</v>
      </c>
      <c r="M14" s="290">
        <v>2150</v>
      </c>
      <c r="N14" s="188">
        <v>5100</v>
      </c>
      <c r="O14" s="188">
        <v>4700</v>
      </c>
      <c r="P14" s="188">
        <v>16200</v>
      </c>
      <c r="Q14" s="165">
        <v>6000</v>
      </c>
      <c r="R14" s="153">
        <v>3100</v>
      </c>
      <c r="S14" s="125">
        <v>7600</v>
      </c>
    </row>
    <row r="15" spans="1:19" x14ac:dyDescent="0.25">
      <c r="A15" s="186" t="str">
        <f>"3211"</f>
        <v>3211</v>
      </c>
      <c r="B15" s="5" t="str">
        <f>"Anmälningsavgifter"</f>
        <v>Anmälningsavgifter</v>
      </c>
      <c r="C15" s="210">
        <v>50000</v>
      </c>
      <c r="D15" s="210">
        <v>50000</v>
      </c>
      <c r="E15" s="263">
        <v>48425</v>
      </c>
      <c r="F15" s="255">
        <f t="shared" si="0"/>
        <v>-1575</v>
      </c>
      <c r="G15" s="239"/>
      <c r="H15" s="290">
        <f>'2025'!E15</f>
        <v>48800</v>
      </c>
      <c r="I15" s="290">
        <v>27600</v>
      </c>
      <c r="J15" s="290">
        <v>30919</v>
      </c>
      <c r="K15" s="290">
        <v>22800</v>
      </c>
      <c r="L15" s="188">
        <v>14275</v>
      </c>
      <c r="M15" s="290">
        <v>29875</v>
      </c>
      <c r="N15" s="188">
        <v>11980</v>
      </c>
      <c r="O15" s="188">
        <v>7425</v>
      </c>
      <c r="P15" s="188">
        <v>7800</v>
      </c>
      <c r="Q15" s="165">
        <v>6400</v>
      </c>
      <c r="R15" s="153">
        <v>12000</v>
      </c>
      <c r="S15" s="125">
        <v>13120</v>
      </c>
    </row>
    <row r="16" spans="1:19" x14ac:dyDescent="0.25">
      <c r="A16" s="186" t="str">
        <f>"3212"</f>
        <v>3212</v>
      </c>
      <c r="B16" s="5" t="str">
        <f>"Transportavgift"</f>
        <v>Transportavgift</v>
      </c>
      <c r="C16" s="210"/>
      <c r="D16" s="210"/>
      <c r="E16" s="263"/>
      <c r="F16" s="239">
        <f t="shared" si="0"/>
        <v>0</v>
      </c>
      <c r="G16" s="239"/>
      <c r="H16" s="290">
        <f>'2025'!E16</f>
        <v>0</v>
      </c>
      <c r="I16" s="290"/>
      <c r="J16" s="290"/>
      <c r="K16" s="290"/>
      <c r="L16" s="188"/>
      <c r="M16" s="290"/>
      <c r="N16" s="188"/>
      <c r="O16" s="188"/>
      <c r="P16" s="188"/>
      <c r="Q16" s="165">
        <v>400</v>
      </c>
      <c r="R16" s="153">
        <v>100</v>
      </c>
      <c r="S16" s="125">
        <v>1800</v>
      </c>
    </row>
    <row r="17" spans="1:22" x14ac:dyDescent="0.25">
      <c r="A17" s="186" t="str">
        <f>"3213"</f>
        <v>3213</v>
      </c>
      <c r="B17" s="5" t="str">
        <f>"Kost och logi under tävlingar"</f>
        <v>Kost och logi under tävlingar</v>
      </c>
      <c r="C17" s="210">
        <v>50000</v>
      </c>
      <c r="D17" s="210">
        <v>60000</v>
      </c>
      <c r="E17" s="263">
        <v>47650</v>
      </c>
      <c r="F17" s="255">
        <f t="shared" si="0"/>
        <v>-12350</v>
      </c>
      <c r="G17" s="239"/>
      <c r="H17" s="290">
        <f>'2025'!E17</f>
        <v>57665</v>
      </c>
      <c r="I17" s="290">
        <v>45085</v>
      </c>
      <c r="J17" s="290">
        <v>44240</v>
      </c>
      <c r="K17" s="290">
        <v>34527</v>
      </c>
      <c r="L17" s="188">
        <v>7070</v>
      </c>
      <c r="M17" s="290">
        <v>42320</v>
      </c>
      <c r="N17" s="188">
        <v>46140</v>
      </c>
      <c r="O17" s="188">
        <v>10126.75</v>
      </c>
      <c r="P17" s="188">
        <v>7635</v>
      </c>
      <c r="Q17" s="165">
        <v>5390</v>
      </c>
      <c r="R17" s="153">
        <v>12555</v>
      </c>
      <c r="S17" s="125">
        <v>2400</v>
      </c>
    </row>
    <row r="18" spans="1:22" x14ac:dyDescent="0.25">
      <c r="A18" s="186" t="s">
        <v>172</v>
      </c>
      <c r="B18" s="5" t="s">
        <v>173</v>
      </c>
      <c r="C18" s="210">
        <v>0</v>
      </c>
      <c r="D18" s="210">
        <v>10000</v>
      </c>
      <c r="E18" s="263">
        <v>0</v>
      </c>
      <c r="F18" s="255">
        <f t="shared" si="0"/>
        <v>-10000</v>
      </c>
      <c r="G18" s="239"/>
      <c r="H18" s="290">
        <f>'2025'!E18</f>
        <v>3450</v>
      </c>
      <c r="I18" s="290">
        <v>17550</v>
      </c>
      <c r="J18" s="290">
        <v>0</v>
      </c>
      <c r="K18" s="290">
        <v>3300</v>
      </c>
      <c r="L18" s="188"/>
      <c r="M18" s="290"/>
      <c r="N18" s="188"/>
      <c r="O18" s="188"/>
      <c r="P18" s="188"/>
      <c r="Q18" s="165"/>
      <c r="R18" s="153"/>
      <c r="S18" s="125"/>
    </row>
    <row r="19" spans="1:22" x14ac:dyDescent="0.25">
      <c r="A19" s="186" t="str">
        <f>"3221"</f>
        <v>3221</v>
      </c>
      <c r="B19" s="5" t="s">
        <v>122</v>
      </c>
      <c r="C19" s="210">
        <v>0</v>
      </c>
      <c r="D19" s="210">
        <v>0</v>
      </c>
      <c r="E19" s="263"/>
      <c r="F19" s="239">
        <f t="shared" si="0"/>
        <v>0</v>
      </c>
      <c r="G19" s="239"/>
      <c r="H19" s="290">
        <f>'2025'!E19</f>
        <v>0</v>
      </c>
      <c r="I19" s="290"/>
      <c r="J19" s="290">
        <v>25000</v>
      </c>
      <c r="K19" s="290"/>
      <c r="L19" s="188">
        <v>0</v>
      </c>
      <c r="M19" s="290">
        <v>9750</v>
      </c>
      <c r="N19" s="188">
        <v>2200</v>
      </c>
      <c r="O19" s="188">
        <v>8900</v>
      </c>
      <c r="P19" s="188">
        <v>9850</v>
      </c>
      <c r="Q19" s="165">
        <v>8200</v>
      </c>
      <c r="R19" s="153">
        <v>5450</v>
      </c>
      <c r="S19" s="125">
        <v>1650</v>
      </c>
    </row>
    <row r="20" spans="1:22" x14ac:dyDescent="0.25">
      <c r="A20" s="186" t="s">
        <v>11</v>
      </c>
      <c r="B20" s="5" t="s">
        <v>123</v>
      </c>
      <c r="C20" s="210"/>
      <c r="D20" s="210"/>
      <c r="E20" s="263"/>
      <c r="F20" s="239">
        <f t="shared" si="0"/>
        <v>0</v>
      </c>
      <c r="G20" s="239"/>
      <c r="H20" s="290">
        <f>'2025'!E20</f>
        <v>0</v>
      </c>
      <c r="I20" s="290"/>
      <c r="J20" s="290"/>
      <c r="K20" s="290"/>
      <c r="L20" s="188"/>
      <c r="M20" s="290"/>
      <c r="N20" s="188"/>
      <c r="O20" s="188"/>
      <c r="P20" s="188"/>
      <c r="Q20" s="165"/>
      <c r="R20" s="153"/>
      <c r="S20" s="125"/>
    </row>
    <row r="21" spans="1:22" x14ac:dyDescent="0.25">
      <c r="A21" s="186" t="str">
        <f>"3223"</f>
        <v>3223</v>
      </c>
      <c r="B21" s="5" t="str">
        <f>"Intäkter SM läger"</f>
        <v>Intäkter SM läger</v>
      </c>
      <c r="C21" s="210">
        <v>90000</v>
      </c>
      <c r="D21" s="210">
        <v>25000</v>
      </c>
      <c r="E21" s="263">
        <v>102000</v>
      </c>
      <c r="F21" s="255">
        <f t="shared" si="0"/>
        <v>77000</v>
      </c>
      <c r="G21" s="239"/>
      <c r="H21" s="290">
        <f>'2025'!E21</f>
        <v>18750</v>
      </c>
      <c r="I21" s="290">
        <v>23000</v>
      </c>
      <c r="J21" s="290">
        <v>22000</v>
      </c>
      <c r="K21" s="290"/>
      <c r="L21" s="188">
        <v>0</v>
      </c>
      <c r="M21" s="290">
        <v>46850</v>
      </c>
      <c r="N21" s="188">
        <v>22540</v>
      </c>
      <c r="O21" s="188">
        <v>22500</v>
      </c>
      <c r="P21" s="188">
        <v>17100</v>
      </c>
      <c r="Q21" s="165">
        <v>18000</v>
      </c>
      <c r="R21" s="153">
        <v>7500</v>
      </c>
      <c r="S21" s="125">
        <v>8400</v>
      </c>
    </row>
    <row r="22" spans="1:22" x14ac:dyDescent="0.25">
      <c r="A22" s="186" t="s">
        <v>13</v>
      </c>
      <c r="B22" s="5" t="s">
        <v>157</v>
      </c>
      <c r="C22" s="210"/>
      <c r="D22" s="210"/>
      <c r="E22" s="263"/>
      <c r="F22" s="255">
        <f t="shared" si="0"/>
        <v>0</v>
      </c>
      <c r="G22" s="239"/>
      <c r="H22" s="290">
        <f>'2025'!E22</f>
        <v>0</v>
      </c>
      <c r="I22" s="290"/>
      <c r="J22" s="290">
        <v>0</v>
      </c>
      <c r="K22" s="290">
        <v>0</v>
      </c>
      <c r="L22" s="188">
        <v>0</v>
      </c>
      <c r="M22" s="290">
        <v>60814</v>
      </c>
      <c r="N22" s="188">
        <v>24271</v>
      </c>
      <c r="O22" s="188">
        <v>4052</v>
      </c>
      <c r="P22" s="188"/>
      <c r="Q22" s="165">
        <v>5434</v>
      </c>
      <c r="R22" s="153">
        <v>11030</v>
      </c>
      <c r="S22" s="125">
        <v>13415.5</v>
      </c>
    </row>
    <row r="23" spans="1:22" x14ac:dyDescent="0.25">
      <c r="A23" s="186" t="s">
        <v>130</v>
      </c>
      <c r="B23" s="5" t="s">
        <v>131</v>
      </c>
      <c r="C23" s="210"/>
      <c r="D23" s="210"/>
      <c r="E23" s="263"/>
      <c r="F23" s="255">
        <f t="shared" si="0"/>
        <v>0</v>
      </c>
      <c r="G23" s="239"/>
      <c r="H23" s="290">
        <f>'2025'!E23</f>
        <v>0</v>
      </c>
      <c r="I23" s="290"/>
      <c r="J23" s="290">
        <v>0</v>
      </c>
      <c r="K23" s="290">
        <v>0</v>
      </c>
      <c r="L23" s="188">
        <v>8250</v>
      </c>
      <c r="M23" s="290">
        <v>7247</v>
      </c>
      <c r="N23" s="188">
        <v>7248</v>
      </c>
      <c r="O23" s="188">
        <v>0</v>
      </c>
      <c r="P23" s="188"/>
      <c r="Q23" s="165"/>
      <c r="R23" s="153"/>
      <c r="S23" s="125"/>
    </row>
    <row r="24" spans="1:22" x14ac:dyDescent="0.25">
      <c r="A24" s="186" t="s">
        <v>158</v>
      </c>
      <c r="B24" s="5" t="s">
        <v>159</v>
      </c>
      <c r="C24" s="210">
        <v>20000</v>
      </c>
      <c r="D24" s="210">
        <v>22000</v>
      </c>
      <c r="E24" s="263">
        <v>10000</v>
      </c>
      <c r="F24" s="255">
        <f t="shared" si="0"/>
        <v>-12000</v>
      </c>
      <c r="G24" s="239"/>
      <c r="H24" s="290">
        <f>'2025'!E24</f>
        <v>22218</v>
      </c>
      <c r="I24" s="290">
        <v>7000</v>
      </c>
      <c r="J24" s="290">
        <v>3250</v>
      </c>
      <c r="K24" s="290">
        <v>0</v>
      </c>
      <c r="L24" s="188">
        <v>12699.5</v>
      </c>
      <c r="M24" s="290"/>
      <c r="N24" s="188"/>
      <c r="O24" s="188"/>
      <c r="P24" s="188"/>
      <c r="Q24" s="165"/>
      <c r="R24" s="153"/>
      <c r="S24" s="125"/>
    </row>
    <row r="25" spans="1:22" x14ac:dyDescent="0.25">
      <c r="A25" s="186" t="str">
        <f>"3310"</f>
        <v>3310</v>
      </c>
      <c r="B25" s="5" t="s">
        <v>160</v>
      </c>
      <c r="C25" s="210">
        <v>2800</v>
      </c>
      <c r="D25" s="210">
        <v>2500</v>
      </c>
      <c r="E25" s="263">
        <v>2714</v>
      </c>
      <c r="F25" s="255">
        <f t="shared" si="0"/>
        <v>214</v>
      </c>
      <c r="G25" s="239"/>
      <c r="H25" s="290">
        <f>'2025'!E25</f>
        <v>2426</v>
      </c>
      <c r="I25" s="290">
        <v>1946</v>
      </c>
      <c r="J25" s="290">
        <v>2844</v>
      </c>
      <c r="K25" s="290">
        <v>2759</v>
      </c>
      <c r="L25" s="188">
        <v>3058</v>
      </c>
      <c r="M25" s="290">
        <v>3254</v>
      </c>
      <c r="N25" s="188">
        <v>2694</v>
      </c>
      <c r="O25" s="188">
        <v>3787</v>
      </c>
      <c r="P25" s="188">
        <v>910</v>
      </c>
      <c r="Q25" s="165">
        <v>1092</v>
      </c>
      <c r="R25" s="153">
        <v>3943</v>
      </c>
      <c r="S25" s="125">
        <v>2388</v>
      </c>
    </row>
    <row r="26" spans="1:22" x14ac:dyDescent="0.25">
      <c r="A26" s="186" t="s">
        <v>15</v>
      </c>
      <c r="B26" s="5" t="s">
        <v>16</v>
      </c>
      <c r="C26" s="210"/>
      <c r="D26" s="210"/>
      <c r="E26" s="263"/>
      <c r="F26" s="239">
        <f t="shared" si="0"/>
        <v>0</v>
      </c>
      <c r="G26" s="239"/>
      <c r="H26" s="290">
        <f>'2025'!E26</f>
        <v>0</v>
      </c>
      <c r="I26" s="290"/>
      <c r="J26" s="290"/>
      <c r="K26" s="290"/>
      <c r="L26" s="188"/>
      <c r="M26" s="290"/>
      <c r="N26" s="188"/>
      <c r="O26" s="188"/>
      <c r="P26" s="188"/>
      <c r="Q26" s="165"/>
      <c r="R26" s="153"/>
      <c r="S26" s="125"/>
    </row>
    <row r="27" spans="1:22" x14ac:dyDescent="0.25">
      <c r="A27" s="186" t="str">
        <f>"3420"</f>
        <v>3420</v>
      </c>
      <c r="B27" s="5" t="str">
        <f>"Intäkter Sponsorer"</f>
        <v>Intäkter Sponsorer</v>
      </c>
      <c r="C27" s="210">
        <v>30000</v>
      </c>
      <c r="D27" s="210">
        <v>45000</v>
      </c>
      <c r="E27" s="263">
        <v>50500</v>
      </c>
      <c r="F27" s="239">
        <f t="shared" si="0"/>
        <v>5500</v>
      </c>
      <c r="G27" s="239"/>
      <c r="H27" s="290">
        <f>'2025'!E27</f>
        <v>45500</v>
      </c>
      <c r="I27" s="290">
        <v>69500</v>
      </c>
      <c r="J27" s="290">
        <v>35500</v>
      </c>
      <c r="K27" s="290">
        <v>44500</v>
      </c>
      <c r="L27" s="188">
        <v>40500</v>
      </c>
      <c r="M27" s="290">
        <v>39000</v>
      </c>
      <c r="N27" s="188">
        <v>38500</v>
      </c>
      <c r="O27" s="188">
        <v>49385</v>
      </c>
      <c r="P27" s="188">
        <v>37000</v>
      </c>
      <c r="Q27" s="165">
        <v>54000</v>
      </c>
      <c r="R27" s="153">
        <v>62570</v>
      </c>
      <c r="S27" s="125">
        <v>41400</v>
      </c>
      <c r="U27" s="4"/>
      <c r="V27" s="4"/>
    </row>
    <row r="28" spans="1:22" x14ac:dyDescent="0.25">
      <c r="A28" s="186" t="str">
        <f>"3421"</f>
        <v>3421</v>
      </c>
      <c r="B28" s="5" t="s">
        <v>161</v>
      </c>
      <c r="C28" s="210">
        <v>100000</v>
      </c>
      <c r="D28" s="210">
        <v>100000</v>
      </c>
      <c r="E28" s="263">
        <v>140000</v>
      </c>
      <c r="F28" s="255">
        <f t="shared" si="0"/>
        <v>40000</v>
      </c>
      <c r="G28" s="239"/>
      <c r="H28" s="290">
        <f>'2025'!E28</f>
        <v>180000</v>
      </c>
      <c r="I28" s="290">
        <v>186133.05</v>
      </c>
      <c r="J28" s="290">
        <v>30000</v>
      </c>
      <c r="K28" s="290">
        <v>30000</v>
      </c>
      <c r="L28" s="188">
        <v>30000</v>
      </c>
      <c r="M28" s="290">
        <v>30000</v>
      </c>
      <c r="N28" s="188">
        <v>62500</v>
      </c>
      <c r="O28" s="188">
        <v>24000</v>
      </c>
      <c r="P28" s="188">
        <v>93000</v>
      </c>
      <c r="Q28" s="165">
        <v>28000</v>
      </c>
      <c r="R28" s="153">
        <v>73000</v>
      </c>
      <c r="S28" s="125">
        <v>28000</v>
      </c>
    </row>
    <row r="29" spans="1:22" x14ac:dyDescent="0.25">
      <c r="A29" s="186" t="s">
        <v>18</v>
      </c>
      <c r="B29" s="5" t="s">
        <v>189</v>
      </c>
      <c r="C29" s="210">
        <v>4000</v>
      </c>
      <c r="D29" s="210">
        <v>4000</v>
      </c>
      <c r="E29" s="263">
        <v>0</v>
      </c>
      <c r="F29" s="255">
        <f t="shared" si="0"/>
        <v>-4000</v>
      </c>
      <c r="G29" s="239"/>
      <c r="H29" s="290">
        <f>'2025'!E29</f>
        <v>1500</v>
      </c>
      <c r="I29" s="290">
        <v>8500</v>
      </c>
      <c r="J29" s="290">
        <v>5000</v>
      </c>
      <c r="K29" s="290"/>
      <c r="L29" s="188">
        <v>0</v>
      </c>
      <c r="M29" s="290">
        <v>51248</v>
      </c>
      <c r="N29" s="188">
        <v>35000</v>
      </c>
      <c r="O29" s="188">
        <v>29500</v>
      </c>
      <c r="P29" s="188">
        <v>27000</v>
      </c>
      <c r="Q29" s="165">
        <v>28775.33</v>
      </c>
      <c r="R29" s="153">
        <v>26179</v>
      </c>
      <c r="S29" s="125">
        <v>50350</v>
      </c>
    </row>
    <row r="30" spans="1:22" x14ac:dyDescent="0.25">
      <c r="A30" s="186" t="str">
        <f>"3430"</f>
        <v>3430</v>
      </c>
      <c r="B30" s="5" t="str">
        <f>"Intäkter föräldrarföreningen"</f>
        <v>Intäkter föräldrarföreningen</v>
      </c>
      <c r="C30" s="210"/>
      <c r="D30" s="210"/>
      <c r="E30" s="263"/>
      <c r="F30" s="239">
        <f t="shared" si="0"/>
        <v>0</v>
      </c>
      <c r="G30" s="239"/>
      <c r="H30" s="290">
        <f>'2025'!E30</f>
        <v>0</v>
      </c>
      <c r="I30" s="290"/>
      <c r="J30" s="290"/>
      <c r="K30" s="290"/>
      <c r="L30" s="188">
        <v>0</v>
      </c>
      <c r="M30" s="290">
        <v>30693</v>
      </c>
      <c r="N30" s="188"/>
      <c r="O30" s="188"/>
      <c r="P30" s="188"/>
      <c r="Q30" s="165"/>
      <c r="R30" s="153"/>
      <c r="S30" s="127"/>
    </row>
    <row r="31" spans="1:22" x14ac:dyDescent="0.25">
      <c r="A31" s="186" t="s">
        <v>190</v>
      </c>
      <c r="B31" s="5" t="s">
        <v>191</v>
      </c>
      <c r="C31" s="210"/>
      <c r="D31" s="210"/>
      <c r="E31" s="263"/>
      <c r="F31" s="239"/>
      <c r="G31" s="239"/>
      <c r="H31" s="290">
        <f>'2025'!E31</f>
        <v>0</v>
      </c>
      <c r="I31" s="290">
        <v>7000</v>
      </c>
      <c r="J31" s="290"/>
      <c r="K31" s="290"/>
      <c r="L31" s="188"/>
      <c r="M31" s="290"/>
      <c r="N31" s="188"/>
      <c r="O31" s="188"/>
      <c r="P31" s="188"/>
      <c r="Q31" s="165"/>
      <c r="R31" s="153"/>
      <c r="S31" s="127"/>
    </row>
    <row r="32" spans="1:22" x14ac:dyDescent="0.25">
      <c r="A32" s="186" t="str">
        <f>"3520"</f>
        <v>3520</v>
      </c>
      <c r="B32" s="5" t="str">
        <f>"Intäkter Kanotförsäkring"</f>
        <v>Intäkter Kanotförsäkring</v>
      </c>
      <c r="C32" s="210"/>
      <c r="D32" s="210"/>
      <c r="E32" s="263"/>
      <c r="F32" s="239">
        <f t="shared" si="0"/>
        <v>0</v>
      </c>
      <c r="G32" s="239"/>
      <c r="H32" s="290">
        <f>'2025'!E32</f>
        <v>0</v>
      </c>
      <c r="I32" s="290"/>
      <c r="J32" s="290"/>
      <c r="K32" s="290"/>
      <c r="L32" s="188"/>
      <c r="M32" s="290"/>
      <c r="N32" s="188"/>
      <c r="O32" s="188"/>
      <c r="P32" s="188">
        <v>430</v>
      </c>
      <c r="Q32" s="165">
        <v>2100</v>
      </c>
      <c r="R32" s="153">
        <v>3458</v>
      </c>
      <c r="S32" s="127">
        <v>3830</v>
      </c>
    </row>
    <row r="33" spans="1:23" x14ac:dyDescent="0.25">
      <c r="A33" s="186" t="s">
        <v>95</v>
      </c>
      <c r="B33" s="5" t="s">
        <v>150</v>
      </c>
      <c r="C33" s="210">
        <v>10000</v>
      </c>
      <c r="D33" s="210">
        <v>10000</v>
      </c>
      <c r="E33" s="263">
        <v>11688</v>
      </c>
      <c r="F33" s="239">
        <f t="shared" si="0"/>
        <v>1688</v>
      </c>
      <c r="G33" s="239"/>
      <c r="H33" s="290">
        <f>'2025'!E33</f>
        <v>43380</v>
      </c>
      <c r="I33" s="290">
        <v>11919</v>
      </c>
      <c r="J33" s="290">
        <v>30575</v>
      </c>
      <c r="K33" s="290">
        <v>87517</v>
      </c>
      <c r="L33" s="188">
        <v>4559</v>
      </c>
      <c r="M33" s="290">
        <v>17369</v>
      </c>
      <c r="N33" s="188"/>
      <c r="O33" s="188"/>
      <c r="P33" s="188"/>
      <c r="Q33" s="165"/>
      <c r="R33" s="153"/>
      <c r="S33" s="127"/>
    </row>
    <row r="34" spans="1:23" x14ac:dyDescent="0.25">
      <c r="A34" s="186" t="s">
        <v>133</v>
      </c>
      <c r="B34" s="5" t="s">
        <v>134</v>
      </c>
      <c r="C34" s="210">
        <v>3000</v>
      </c>
      <c r="D34" s="210">
        <v>3000</v>
      </c>
      <c r="E34" s="263">
        <v>0</v>
      </c>
      <c r="F34" s="239"/>
      <c r="G34" s="239"/>
      <c r="H34" s="290">
        <f>'2025'!E34</f>
        <v>0</v>
      </c>
      <c r="I34" s="290"/>
      <c r="J34" s="290"/>
      <c r="K34" s="290"/>
      <c r="L34" s="188"/>
      <c r="M34" s="290"/>
      <c r="N34" s="188"/>
      <c r="O34" s="188">
        <v>1200</v>
      </c>
      <c r="P34" s="188"/>
      <c r="Q34" s="165"/>
      <c r="R34" s="153"/>
      <c r="S34" s="127"/>
    </row>
    <row r="35" spans="1:23" x14ac:dyDescent="0.25">
      <c r="A35" s="186" t="s">
        <v>20</v>
      </c>
      <c r="B35" s="5" t="s">
        <v>21</v>
      </c>
      <c r="C35" s="210"/>
      <c r="D35" s="210"/>
      <c r="E35" s="263"/>
      <c r="F35" s="239">
        <f t="shared" ref="F35:F43" si="1">-(D35-E35)</f>
        <v>0</v>
      </c>
      <c r="G35" s="239"/>
      <c r="H35" s="290">
        <f>'2025'!E35</f>
        <v>0</v>
      </c>
      <c r="I35" s="290"/>
      <c r="J35" s="290"/>
      <c r="K35" s="290"/>
      <c r="L35" s="188"/>
      <c r="M35" s="290"/>
      <c r="N35" s="188"/>
      <c r="O35" s="188"/>
      <c r="P35" s="188"/>
      <c r="Q35" s="165"/>
      <c r="R35" s="153">
        <v>61624</v>
      </c>
      <c r="S35" s="127"/>
    </row>
    <row r="36" spans="1:23" x14ac:dyDescent="0.25">
      <c r="A36" s="186" t="str">
        <f>"3710"</f>
        <v>3710</v>
      </c>
      <c r="B36" s="5" t="str">
        <f>"Kommunala bidrag"</f>
        <v>Kommunala bidrag</v>
      </c>
      <c r="C36" s="210">
        <v>120000</v>
      </c>
      <c r="D36" s="210">
        <v>100000</v>
      </c>
      <c r="E36" s="263">
        <v>119427</v>
      </c>
      <c r="F36" s="255">
        <f t="shared" si="1"/>
        <v>19427</v>
      </c>
      <c r="G36" s="239"/>
      <c r="H36" s="290">
        <f>'2025'!E36</f>
        <v>127725</v>
      </c>
      <c r="I36" s="290">
        <v>76889</v>
      </c>
      <c r="J36" s="290">
        <v>87386</v>
      </c>
      <c r="K36" s="290">
        <v>75387</v>
      </c>
      <c r="L36" s="188">
        <v>93899</v>
      </c>
      <c r="M36" s="290">
        <v>76399</v>
      </c>
      <c r="N36" s="188">
        <v>53067</v>
      </c>
      <c r="O36" s="188">
        <v>71801</v>
      </c>
      <c r="P36" s="188">
        <v>51130</v>
      </c>
      <c r="Q36" s="165">
        <v>54852</v>
      </c>
      <c r="R36" s="153">
        <v>52860</v>
      </c>
      <c r="S36" s="127">
        <v>51090</v>
      </c>
    </row>
    <row r="37" spans="1:23" x14ac:dyDescent="0.25">
      <c r="A37" s="186" t="s">
        <v>162</v>
      </c>
      <c r="B37" s="5" t="s">
        <v>163</v>
      </c>
      <c r="C37" s="210">
        <v>0</v>
      </c>
      <c r="D37" s="210">
        <v>0</v>
      </c>
      <c r="E37" s="263">
        <v>11000</v>
      </c>
      <c r="F37" s="255">
        <f t="shared" si="1"/>
        <v>11000</v>
      </c>
      <c r="G37" s="239"/>
      <c r="H37" s="290">
        <f>'2025'!E37</f>
        <v>0</v>
      </c>
      <c r="I37" s="290">
        <v>20000</v>
      </c>
      <c r="J37" s="290">
        <v>46752.34</v>
      </c>
      <c r="K37" s="290">
        <v>24019</v>
      </c>
      <c r="L37" s="188">
        <v>82060</v>
      </c>
      <c r="M37" s="290"/>
      <c r="N37" s="188"/>
      <c r="O37" s="188"/>
      <c r="P37" s="188"/>
      <c r="Q37" s="165"/>
      <c r="R37" s="153"/>
      <c r="S37" s="127"/>
    </row>
    <row r="38" spans="1:23" x14ac:dyDescent="0.25">
      <c r="A38" s="186" t="str">
        <f>"3730"</f>
        <v>3730</v>
      </c>
      <c r="B38" s="5" t="str">
        <f>"LOK-stöd Riksidrottsförbundet"</f>
        <v>LOK-stöd Riksidrottsförbundet</v>
      </c>
      <c r="C38" s="210">
        <v>70000</v>
      </c>
      <c r="D38" s="210">
        <v>63000</v>
      </c>
      <c r="E38" s="263">
        <v>70916</v>
      </c>
      <c r="F38" s="255">
        <f t="shared" si="1"/>
        <v>7916</v>
      </c>
      <c r="G38" s="239"/>
      <c r="H38" s="290">
        <f>'2025'!E38</f>
        <v>63620</v>
      </c>
      <c r="I38" s="290">
        <v>65565.22</v>
      </c>
      <c r="J38" s="290">
        <v>63577</v>
      </c>
      <c r="K38" s="290">
        <v>32728.05</v>
      </c>
      <c r="L38" s="188">
        <v>53929.18</v>
      </c>
      <c r="M38" s="290">
        <v>40855.599999999999</v>
      </c>
      <c r="N38" s="188">
        <v>48410.75</v>
      </c>
      <c r="O38" s="188">
        <v>54186</v>
      </c>
      <c r="P38" s="188">
        <v>40408</v>
      </c>
      <c r="Q38" s="165">
        <v>36836</v>
      </c>
      <c r="R38" s="153">
        <v>33824</v>
      </c>
      <c r="S38" s="127">
        <v>39430</v>
      </c>
    </row>
    <row r="39" spans="1:23" x14ac:dyDescent="0.25">
      <c r="A39" s="186" t="s">
        <v>135</v>
      </c>
      <c r="B39" s="5" t="s">
        <v>136</v>
      </c>
      <c r="C39" s="210"/>
      <c r="D39" s="210"/>
      <c r="E39" s="263"/>
      <c r="F39" s="255">
        <f t="shared" si="1"/>
        <v>0</v>
      </c>
      <c r="G39" s="239"/>
      <c r="H39" s="290">
        <f>'2025'!E39</f>
        <v>0</v>
      </c>
      <c r="I39" s="290">
        <v>0</v>
      </c>
      <c r="J39" s="290">
        <v>0</v>
      </c>
      <c r="K39" s="290">
        <v>9529</v>
      </c>
      <c r="L39" s="188">
        <v>0</v>
      </c>
      <c r="M39" s="290">
        <v>0</v>
      </c>
      <c r="N39" s="188"/>
      <c r="O39" s="188">
        <v>108000</v>
      </c>
      <c r="P39" s="188"/>
      <c r="Q39" s="165"/>
      <c r="R39" s="153"/>
      <c r="S39" s="127"/>
    </row>
    <row r="40" spans="1:23" x14ac:dyDescent="0.25">
      <c r="A40" s="186" t="s">
        <v>22</v>
      </c>
      <c r="B40" s="5" t="s">
        <v>198</v>
      </c>
      <c r="C40" s="210">
        <v>0</v>
      </c>
      <c r="D40" s="210">
        <v>65000</v>
      </c>
      <c r="E40" s="263">
        <v>65000</v>
      </c>
      <c r="F40" s="255">
        <f t="shared" si="1"/>
        <v>0</v>
      </c>
      <c r="G40" s="239"/>
      <c r="H40" s="290">
        <f>'2025'!E40</f>
        <v>483273.2</v>
      </c>
      <c r="I40" s="290"/>
      <c r="J40" s="290"/>
      <c r="K40" s="290"/>
      <c r="L40" s="188"/>
      <c r="M40" s="290"/>
      <c r="N40" s="188"/>
      <c r="O40" s="188"/>
      <c r="P40" s="188"/>
      <c r="Q40" s="165"/>
      <c r="R40" s="153"/>
      <c r="S40" s="127"/>
    </row>
    <row r="41" spans="1:23" x14ac:dyDescent="0.25">
      <c r="A41" s="186" t="str">
        <f>"3790"</f>
        <v>3790</v>
      </c>
      <c r="B41" s="5" t="s">
        <v>182</v>
      </c>
      <c r="C41" s="210"/>
      <c r="D41" s="210"/>
      <c r="E41" s="263">
        <v>11000</v>
      </c>
      <c r="F41" s="255">
        <f t="shared" si="1"/>
        <v>11000</v>
      </c>
      <c r="G41" s="239"/>
      <c r="H41" s="290">
        <f>'2025'!E41</f>
        <v>0</v>
      </c>
      <c r="I41" s="290">
        <v>168000</v>
      </c>
      <c r="J41" s="290">
        <v>14600</v>
      </c>
      <c r="K41" s="290">
        <v>5000</v>
      </c>
      <c r="L41" s="188"/>
      <c r="M41" s="290"/>
      <c r="N41" s="188"/>
      <c r="O41" s="188"/>
      <c r="P41" s="188"/>
      <c r="Q41" s="165"/>
      <c r="R41" s="153"/>
      <c r="S41" s="127"/>
      <c r="W41" s="4"/>
    </row>
    <row r="42" spans="1:23" x14ac:dyDescent="0.25">
      <c r="A42" s="26"/>
      <c r="B42" s="6"/>
      <c r="C42" s="210"/>
      <c r="D42" s="210"/>
      <c r="E42" s="263"/>
      <c r="F42" s="255"/>
      <c r="G42" s="239"/>
      <c r="H42" s="290">
        <f>'2025'!E42</f>
        <v>0</v>
      </c>
      <c r="I42" s="290"/>
      <c r="J42" s="290"/>
      <c r="K42" s="290"/>
      <c r="L42" s="188"/>
      <c r="M42" s="290"/>
      <c r="N42" s="188"/>
      <c r="O42" s="188"/>
      <c r="P42" s="188"/>
      <c r="Q42" s="165"/>
      <c r="R42" s="153"/>
      <c r="S42" s="127"/>
    </row>
    <row r="43" spans="1:23" s="1" customFormat="1" ht="15.75" thickBot="1" x14ac:dyDescent="0.3">
      <c r="A43" s="27" t="str">
        <f>"S:a Nettoomsättning"</f>
        <v>S:a Nettoomsättning</v>
      </c>
      <c r="B43" s="14"/>
      <c r="C43" s="209">
        <f>SUM(C8:C41)</f>
        <v>737250</v>
      </c>
      <c r="D43" s="209">
        <f>SUM(D8:D41)</f>
        <v>738500</v>
      </c>
      <c r="E43" s="265">
        <f>SUM(E8:E42)</f>
        <v>884405</v>
      </c>
      <c r="F43" s="292">
        <f t="shared" si="1"/>
        <v>145905</v>
      </c>
      <c r="G43" s="240"/>
      <c r="H43" s="292">
        <f>'2025'!E43</f>
        <v>1274797.2</v>
      </c>
      <c r="I43" s="292">
        <f>SUM(I8:I42)</f>
        <v>918371.27</v>
      </c>
      <c r="J43" s="292">
        <v>634863.34</v>
      </c>
      <c r="K43" s="292">
        <f>SUM(K8:K42)</f>
        <v>542786.05000000005</v>
      </c>
      <c r="L43" s="189">
        <v>520343.26999999996</v>
      </c>
      <c r="M43" s="292">
        <f>SUM(M8:M42)</f>
        <v>645019.6</v>
      </c>
      <c r="N43" s="189">
        <f>SUM(N8:N42)</f>
        <v>493735.75</v>
      </c>
      <c r="O43" s="189">
        <f>SUM(O8:O42)</f>
        <v>571737.75</v>
      </c>
      <c r="P43" s="189">
        <f>SUM(P8:P42)</f>
        <v>473728</v>
      </c>
      <c r="Q43" s="167">
        <f>SUM(Q8:Q41)</f>
        <v>422129.33</v>
      </c>
      <c r="R43" s="154">
        <f>SUM(R8:R41)</f>
        <v>549106</v>
      </c>
      <c r="S43" s="119">
        <f>SUM(S8:S41)</f>
        <v>411883.5</v>
      </c>
      <c r="W43" s="120"/>
    </row>
    <row r="44" spans="1:23" x14ac:dyDescent="0.25">
      <c r="A44" s="19"/>
      <c r="B44" s="20"/>
      <c r="C44" s="205"/>
      <c r="D44" s="205"/>
      <c r="E44" s="266"/>
      <c r="F44" s="241"/>
      <c r="G44" s="241"/>
      <c r="H44" s="293">
        <f>'2025'!E44</f>
        <v>0</v>
      </c>
      <c r="I44" s="293"/>
      <c r="J44" s="293"/>
      <c r="K44" s="293"/>
      <c r="L44" s="190"/>
      <c r="M44" s="293"/>
      <c r="N44" s="190"/>
      <c r="O44" s="190"/>
      <c r="P44" s="190"/>
      <c r="Q44" s="168"/>
      <c r="R44" s="155"/>
      <c r="S44" s="128"/>
    </row>
    <row r="45" spans="1:23" x14ac:dyDescent="0.25">
      <c r="A45" s="22" t="str">
        <f>"Aktiverat arbete för egen räkning"</f>
        <v>Aktiverat arbete för egen räkning</v>
      </c>
      <c r="B45" s="6"/>
      <c r="C45" s="203"/>
      <c r="D45" s="203"/>
      <c r="E45" s="263"/>
      <c r="F45" s="239"/>
      <c r="G45" s="239"/>
      <c r="H45" s="290">
        <f>'2025'!E45</f>
        <v>0</v>
      </c>
      <c r="I45" s="290"/>
      <c r="J45" s="290"/>
      <c r="K45" s="290"/>
      <c r="L45" s="188"/>
      <c r="M45" s="290"/>
      <c r="N45" s="188"/>
      <c r="O45" s="188"/>
      <c r="P45" s="188"/>
      <c r="Q45" s="6"/>
      <c r="R45" s="153"/>
      <c r="S45" s="129"/>
    </row>
    <row r="46" spans="1:23" x14ac:dyDescent="0.25">
      <c r="A46" s="186" t="str">
        <f>"3813"</f>
        <v>3813</v>
      </c>
      <c r="B46" s="5" t="s">
        <v>27</v>
      </c>
      <c r="C46" s="210">
        <v>0</v>
      </c>
      <c r="D46" s="210">
        <v>0</v>
      </c>
      <c r="E46" s="263">
        <v>0</v>
      </c>
      <c r="F46" s="239"/>
      <c r="G46" s="239"/>
      <c r="H46" s="290">
        <f>'2025'!E46</f>
        <v>0</v>
      </c>
      <c r="I46" s="290">
        <v>0</v>
      </c>
      <c r="J46" s="290">
        <v>0</v>
      </c>
      <c r="K46" s="290">
        <v>0</v>
      </c>
      <c r="L46" s="188">
        <v>0</v>
      </c>
      <c r="M46" s="290">
        <v>0</v>
      </c>
      <c r="N46" s="188">
        <v>0</v>
      </c>
      <c r="O46" s="188">
        <v>5500</v>
      </c>
      <c r="P46" s="188">
        <v>2000</v>
      </c>
      <c r="Q46" s="153">
        <v>1000</v>
      </c>
      <c r="R46" s="153">
        <v>3350</v>
      </c>
      <c r="S46" s="127">
        <v>0</v>
      </c>
    </row>
    <row r="47" spans="1:23" x14ac:dyDescent="0.25">
      <c r="A47" s="187"/>
      <c r="B47" s="6"/>
      <c r="C47" s="210"/>
      <c r="D47" s="210"/>
      <c r="E47" s="263"/>
      <c r="F47" s="239"/>
      <c r="G47" s="239"/>
      <c r="H47" s="290">
        <f>'2025'!E47</f>
        <v>0</v>
      </c>
      <c r="I47" s="290"/>
      <c r="J47" s="290"/>
      <c r="K47" s="290"/>
      <c r="L47" s="188"/>
      <c r="M47" s="290"/>
      <c r="N47" s="188"/>
      <c r="O47" s="188"/>
      <c r="P47" s="188"/>
      <c r="Q47" s="6"/>
      <c r="R47" s="153"/>
      <c r="S47" s="129"/>
    </row>
    <row r="48" spans="1:23" s="1" customFormat="1" ht="15.75" thickBot="1" x14ac:dyDescent="0.3">
      <c r="A48" s="27" t="str">
        <f>"S:a Aktiverat arbete för egen räkning"</f>
        <v>S:a Aktiverat arbete för egen räkning</v>
      </c>
      <c r="B48" s="14"/>
      <c r="C48" s="212">
        <v>0</v>
      </c>
      <c r="D48" s="212">
        <v>0</v>
      </c>
      <c r="E48" s="265">
        <f>SUM(E46:E47)</f>
        <v>0</v>
      </c>
      <c r="F48" s="240"/>
      <c r="G48" s="240"/>
      <c r="H48" s="292">
        <f>'2025'!E48</f>
        <v>0</v>
      </c>
      <c r="I48" s="292">
        <f>SUM(I46:I47)</f>
        <v>0</v>
      </c>
      <c r="J48" s="292">
        <v>0</v>
      </c>
      <c r="K48" s="292">
        <f>SUM(K46:K47)</f>
        <v>0</v>
      </c>
      <c r="L48" s="189">
        <v>0</v>
      </c>
      <c r="M48" s="292">
        <f>SUM(M46:M47)</f>
        <v>0</v>
      </c>
      <c r="N48" s="189">
        <f>SUM(N46:N47)</f>
        <v>0</v>
      </c>
      <c r="O48" s="189">
        <f>SUM(O46:O47)</f>
        <v>5500</v>
      </c>
      <c r="P48" s="189">
        <f>SUM(P46:P47)</f>
        <v>2000</v>
      </c>
      <c r="Q48" s="109">
        <f>SUM(Q46:Q46)</f>
        <v>1000</v>
      </c>
      <c r="R48" s="109">
        <f>SUM(R46:R46)</f>
        <v>3350</v>
      </c>
      <c r="S48" s="119">
        <f>SUM(S46:S47)</f>
        <v>0</v>
      </c>
    </row>
    <row r="49" spans="1:71" x14ac:dyDescent="0.25">
      <c r="A49" s="19"/>
      <c r="B49" s="20"/>
      <c r="C49" s="205"/>
      <c r="D49" s="205"/>
      <c r="E49" s="266"/>
      <c r="F49" s="241"/>
      <c r="G49" s="241"/>
      <c r="H49" s="293">
        <f>'2025'!E49</f>
        <v>0</v>
      </c>
      <c r="I49" s="293"/>
      <c r="J49" s="293"/>
      <c r="K49" s="293"/>
      <c r="L49" s="190"/>
      <c r="M49" s="293"/>
      <c r="N49" s="190"/>
      <c r="O49" s="190"/>
      <c r="P49" s="190"/>
      <c r="Q49" s="168"/>
      <c r="R49" s="155"/>
      <c r="S49" s="128"/>
    </row>
    <row r="50" spans="1:71" x14ac:dyDescent="0.25">
      <c r="A50" s="22" t="str">
        <f>"Övriga rörelseintäkter"</f>
        <v>Övriga rörelseintäkter</v>
      </c>
      <c r="B50" s="6"/>
      <c r="C50" s="203"/>
      <c r="D50" s="203"/>
      <c r="E50" s="263"/>
      <c r="F50" s="239"/>
      <c r="G50" s="239"/>
      <c r="H50" s="290">
        <f>'2025'!E50</f>
        <v>0</v>
      </c>
      <c r="I50" s="290"/>
      <c r="J50" s="290"/>
      <c r="K50" s="290"/>
      <c r="L50" s="188"/>
      <c r="M50" s="290"/>
      <c r="N50" s="188"/>
      <c r="O50" s="188"/>
      <c r="P50" s="188"/>
      <c r="Q50" s="6"/>
      <c r="R50" s="153"/>
      <c r="S50" s="129"/>
    </row>
    <row r="51" spans="1:71" x14ac:dyDescent="0.25">
      <c r="A51" s="186" t="s">
        <v>137</v>
      </c>
      <c r="B51" s="6" t="s">
        <v>138</v>
      </c>
      <c r="C51" s="203"/>
      <c r="D51" s="203"/>
      <c r="E51" s="263">
        <v>0</v>
      </c>
      <c r="F51" s="239"/>
      <c r="G51" s="239"/>
      <c r="H51" s="290">
        <f>'2025'!E51</f>
        <v>0</v>
      </c>
      <c r="I51" s="290">
        <v>0</v>
      </c>
      <c r="J51" s="290">
        <v>0</v>
      </c>
      <c r="K51" s="290">
        <v>0</v>
      </c>
      <c r="L51" s="188">
        <v>0</v>
      </c>
      <c r="M51" s="290">
        <v>0</v>
      </c>
      <c r="N51" s="188">
        <v>22000</v>
      </c>
      <c r="O51" s="188"/>
      <c r="P51" s="188"/>
      <c r="Q51" s="6"/>
      <c r="R51" s="153"/>
      <c r="S51" s="129"/>
    </row>
    <row r="52" spans="1:71" x14ac:dyDescent="0.25">
      <c r="A52" s="186" t="s">
        <v>183</v>
      </c>
      <c r="B52" s="6" t="s">
        <v>184</v>
      </c>
      <c r="C52" s="203"/>
      <c r="D52" s="203"/>
      <c r="E52" s="263"/>
      <c r="F52" s="239"/>
      <c r="G52" s="239"/>
      <c r="H52" s="290">
        <f>'2025'!E52</f>
        <v>0</v>
      </c>
      <c r="I52" s="290"/>
      <c r="J52" s="290">
        <v>15000</v>
      </c>
      <c r="K52" s="290"/>
      <c r="L52" s="188"/>
      <c r="M52" s="290"/>
      <c r="N52" s="188"/>
      <c r="O52" s="188"/>
      <c r="P52" s="188"/>
      <c r="Q52" s="6"/>
      <c r="R52" s="153"/>
      <c r="S52" s="129"/>
    </row>
    <row r="53" spans="1:71" x14ac:dyDescent="0.25">
      <c r="A53" s="186" t="str">
        <f>"3990"</f>
        <v>3990</v>
      </c>
      <c r="B53" s="5" t="str">
        <f>"Övr ersättn och intäkter"</f>
        <v>Övr ersättn och intäkter</v>
      </c>
      <c r="C53" s="210">
        <v>0</v>
      </c>
      <c r="D53" s="210">
        <v>0</v>
      </c>
      <c r="E53" s="263">
        <v>0</v>
      </c>
      <c r="F53" s="239"/>
      <c r="G53" s="239"/>
      <c r="H53" s="290">
        <f>'2025'!E53</f>
        <v>0</v>
      </c>
      <c r="I53" s="290">
        <v>0</v>
      </c>
      <c r="J53" s="290">
        <v>0</v>
      </c>
      <c r="K53" s="290">
        <v>0</v>
      </c>
      <c r="L53" s="188">
        <v>0</v>
      </c>
      <c r="M53" s="290">
        <v>57992</v>
      </c>
      <c r="N53" s="188">
        <v>9363</v>
      </c>
      <c r="O53" s="188"/>
      <c r="P53" s="188"/>
      <c r="Q53" s="169">
        <v>11103</v>
      </c>
      <c r="R53" s="153"/>
      <c r="S53" s="127"/>
    </row>
    <row r="54" spans="1:71" x14ac:dyDescent="0.25">
      <c r="A54" s="186" t="str">
        <f>"3992"</f>
        <v>3992</v>
      </c>
      <c r="B54" s="5" t="s">
        <v>28</v>
      </c>
      <c r="C54" s="210"/>
      <c r="D54" s="210"/>
      <c r="E54" s="263"/>
      <c r="F54" s="239"/>
      <c r="G54" s="239"/>
      <c r="H54" s="290">
        <f>'2025'!E54</f>
        <v>0</v>
      </c>
      <c r="I54" s="290"/>
      <c r="J54" s="290"/>
      <c r="K54" s="290"/>
      <c r="L54" s="188"/>
      <c r="M54" s="290"/>
      <c r="N54" s="188"/>
      <c r="O54" s="188"/>
      <c r="P54" s="188"/>
      <c r="Q54" s="169"/>
      <c r="R54" s="153"/>
      <c r="S54" s="127"/>
    </row>
    <row r="55" spans="1:71" x14ac:dyDescent="0.25">
      <c r="A55" s="187">
        <v>3680</v>
      </c>
      <c r="B55" s="6" t="s">
        <v>29</v>
      </c>
      <c r="C55" s="210"/>
      <c r="D55" s="210"/>
      <c r="E55" s="263"/>
      <c r="F55" s="239"/>
      <c r="G55" s="239"/>
      <c r="H55" s="290">
        <f>'2025'!E55</f>
        <v>0</v>
      </c>
      <c r="I55" s="290"/>
      <c r="J55" s="290"/>
      <c r="K55" s="290"/>
      <c r="L55" s="188"/>
      <c r="M55" s="290"/>
      <c r="N55" s="188"/>
      <c r="O55" s="188"/>
      <c r="P55" s="188"/>
      <c r="Q55" s="169"/>
      <c r="R55" s="153"/>
      <c r="S55" s="129"/>
    </row>
    <row r="56" spans="1:71" s="1" customFormat="1" ht="15.75" thickBot="1" x14ac:dyDescent="0.3">
      <c r="A56" s="27" t="str">
        <f>"S:a Övriga rörelseintäkter"</f>
        <v>S:a Övriga rörelseintäkter</v>
      </c>
      <c r="B56" s="14"/>
      <c r="C56" s="212">
        <v>0</v>
      </c>
      <c r="D56" s="212">
        <v>0</v>
      </c>
      <c r="E56" s="267">
        <f>SUM(E51:E55)</f>
        <v>0</v>
      </c>
      <c r="F56" s="240"/>
      <c r="G56" s="240"/>
      <c r="H56" s="170">
        <f>'2025'!E56</f>
        <v>0</v>
      </c>
      <c r="I56" s="170">
        <f>SUM(I51:I55)</f>
        <v>0</v>
      </c>
      <c r="J56" s="170">
        <v>15000</v>
      </c>
      <c r="K56" s="170">
        <f>SUM(K51:K55)</f>
        <v>0</v>
      </c>
      <c r="L56" s="189">
        <v>0</v>
      </c>
      <c r="M56" s="170">
        <f>SUM(M51:M55)</f>
        <v>57992</v>
      </c>
      <c r="N56" s="170">
        <f>SUM(N51:N55)</f>
        <v>31363</v>
      </c>
      <c r="O56" s="170">
        <f>SUM(O53:O55)</f>
        <v>0</v>
      </c>
      <c r="P56" s="170">
        <f>SUM(P53:P55)</f>
        <v>0</v>
      </c>
      <c r="Q56" s="170">
        <f>SUM(Q53:Q55)</f>
        <v>11103</v>
      </c>
      <c r="R56" s="109">
        <f>SUM(R53:R55)</f>
        <v>0</v>
      </c>
      <c r="S56" s="119">
        <f>SUM(S53:S55)</f>
        <v>0</v>
      </c>
    </row>
    <row r="57" spans="1:71" x14ac:dyDescent="0.25">
      <c r="A57" s="19"/>
      <c r="B57" s="20"/>
      <c r="C57" s="205"/>
      <c r="D57" s="205"/>
      <c r="E57" s="266"/>
      <c r="F57" s="241"/>
      <c r="G57" s="241"/>
      <c r="H57" s="293">
        <f>'2025'!E57</f>
        <v>0</v>
      </c>
      <c r="I57" s="293"/>
      <c r="J57" s="293"/>
      <c r="K57" s="293"/>
      <c r="L57" s="190"/>
      <c r="M57" s="293"/>
      <c r="N57" s="190"/>
      <c r="O57" s="190"/>
      <c r="P57" s="190"/>
      <c r="Q57" s="168"/>
      <c r="R57" s="155"/>
      <c r="S57" s="128"/>
    </row>
    <row r="58" spans="1:71" x14ac:dyDescent="0.25">
      <c r="A58" s="26"/>
      <c r="B58" s="6"/>
      <c r="C58" s="203"/>
      <c r="D58" s="203"/>
      <c r="E58" s="263"/>
      <c r="F58" s="239"/>
      <c r="G58" s="239"/>
      <c r="H58" s="290">
        <f>'2025'!E58</f>
        <v>0</v>
      </c>
      <c r="I58" s="290"/>
      <c r="J58" s="290"/>
      <c r="K58" s="290"/>
      <c r="L58" s="188"/>
      <c r="M58" s="290"/>
      <c r="N58" s="188"/>
      <c r="O58" s="188"/>
      <c r="P58" s="188"/>
      <c r="Q58" s="6"/>
      <c r="R58" s="153"/>
      <c r="S58" s="129"/>
    </row>
    <row r="59" spans="1:71" s="2" customFormat="1" ht="15.75" thickBot="1" x14ac:dyDescent="0.3">
      <c r="A59" s="32" t="str">
        <f>"S:a Rörelseintäkter och lagerförändring"</f>
        <v>S:a Rörelseintäkter och lagerförändring</v>
      </c>
      <c r="B59" s="33"/>
      <c r="C59" s="147">
        <f>SUM(C43+C48+C56)</f>
        <v>737250</v>
      </c>
      <c r="D59" s="147">
        <f>SUM(D43+D48+D56)</f>
        <v>738500</v>
      </c>
      <c r="E59" s="147">
        <f>E43+E48+E56</f>
        <v>884405</v>
      </c>
      <c r="F59" s="242">
        <f>E59-D59</f>
        <v>145905</v>
      </c>
      <c r="G59" s="242"/>
      <c r="H59" s="163">
        <f>'2025'!E59</f>
        <v>1274797.2</v>
      </c>
      <c r="I59" s="163">
        <f>I43+I48+I56</f>
        <v>918371.27</v>
      </c>
      <c r="J59" s="163">
        <v>649863.34</v>
      </c>
      <c r="K59" s="163">
        <f>K43+K48+K56</f>
        <v>542786.05000000005</v>
      </c>
      <c r="L59" s="163">
        <v>520343.26999999996</v>
      </c>
      <c r="M59" s="163">
        <f>M43+M48+M56</f>
        <v>703011.6</v>
      </c>
      <c r="N59" s="163">
        <f t="shared" ref="N59:S59" si="2">N43+N48+N56</f>
        <v>525098.75</v>
      </c>
      <c r="O59" s="163">
        <f t="shared" si="2"/>
        <v>577237.75</v>
      </c>
      <c r="P59" s="163">
        <f t="shared" si="2"/>
        <v>475728</v>
      </c>
      <c r="Q59" s="147">
        <f t="shared" si="2"/>
        <v>434232.33</v>
      </c>
      <c r="R59" s="112">
        <f t="shared" si="2"/>
        <v>552456</v>
      </c>
      <c r="S59" s="111">
        <f t="shared" si="2"/>
        <v>411883.5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x14ac:dyDescent="0.25">
      <c r="A60" s="19"/>
      <c r="B60" s="20"/>
      <c r="C60" s="205"/>
      <c r="D60" s="205"/>
      <c r="E60" s="266"/>
      <c r="F60" s="241"/>
      <c r="G60" s="241"/>
      <c r="H60" s="293">
        <f>'2025'!E60</f>
        <v>0</v>
      </c>
      <c r="I60" s="293"/>
      <c r="J60" s="293"/>
      <c r="K60" s="293"/>
      <c r="L60" s="190"/>
      <c r="M60" s="293"/>
      <c r="N60" s="190"/>
      <c r="O60" s="190"/>
      <c r="P60" s="190"/>
      <c r="Q60" s="168"/>
      <c r="R60" s="155"/>
      <c r="S60" s="128"/>
    </row>
    <row r="61" spans="1:71" x14ac:dyDescent="0.25">
      <c r="A61" s="22" t="str">
        <f>"Rörelsens kostnader"</f>
        <v>Rörelsens kostnader</v>
      </c>
      <c r="B61" s="6"/>
      <c r="C61" s="203"/>
      <c r="D61" s="203"/>
      <c r="E61" s="263"/>
      <c r="F61" s="239"/>
      <c r="G61" s="239"/>
      <c r="H61" s="290">
        <f>'2025'!E61</f>
        <v>0</v>
      </c>
      <c r="I61" s="290"/>
      <c r="J61" s="290"/>
      <c r="K61" s="290"/>
      <c r="L61" s="188"/>
      <c r="M61" s="290"/>
      <c r="N61" s="188"/>
      <c r="O61" s="188"/>
      <c r="P61" s="188"/>
      <c r="Q61" s="6"/>
      <c r="R61" s="153"/>
      <c r="S61" s="129"/>
    </row>
    <row r="62" spans="1:71" x14ac:dyDescent="0.25">
      <c r="A62" s="22" t="str">
        <f>"Råvaror och förnödenheter mm"</f>
        <v>Råvaror och förnödenheter mm</v>
      </c>
      <c r="B62" s="6"/>
      <c r="C62" s="203"/>
      <c r="D62" s="203"/>
      <c r="E62" s="263"/>
      <c r="F62" s="239"/>
      <c r="G62" s="239"/>
      <c r="H62" s="290">
        <f>'2025'!E62</f>
        <v>0</v>
      </c>
      <c r="I62" s="290"/>
      <c r="J62" s="290"/>
      <c r="K62" s="290"/>
      <c r="L62" s="188"/>
      <c r="M62" s="290"/>
      <c r="N62" s="188"/>
      <c r="O62" s="188"/>
      <c r="P62" s="188"/>
      <c r="Q62" s="6"/>
      <c r="R62" s="153"/>
      <c r="S62" s="129"/>
    </row>
    <row r="63" spans="1:71" x14ac:dyDescent="0.25">
      <c r="A63" s="24" t="s">
        <v>139</v>
      </c>
      <c r="B63" s="5" t="s">
        <v>140</v>
      </c>
      <c r="C63" s="210">
        <v>0</v>
      </c>
      <c r="D63" s="210">
        <v>0</v>
      </c>
      <c r="E63" s="263"/>
      <c r="F63" s="239">
        <f t="shared" ref="F63:F72" si="3">-(D63-E63)</f>
        <v>0</v>
      </c>
      <c r="G63" s="239"/>
      <c r="H63" s="290">
        <f>'2025'!E63</f>
        <v>0</v>
      </c>
      <c r="I63" s="290"/>
      <c r="J63" s="290"/>
      <c r="K63" s="290"/>
      <c r="L63" s="188">
        <v>0</v>
      </c>
      <c r="M63" s="290">
        <v>0</v>
      </c>
      <c r="N63" s="188">
        <v>-902.8</v>
      </c>
      <c r="O63" s="188"/>
      <c r="P63" s="188"/>
      <c r="Q63" s="171"/>
      <c r="R63" s="153"/>
      <c r="S63" s="127"/>
    </row>
    <row r="64" spans="1:71" x14ac:dyDescent="0.25">
      <c r="A64" s="24" t="str">
        <f>"4011"</f>
        <v>4011</v>
      </c>
      <c r="B64" s="5" t="str">
        <f>"Anmälningsavgifter"</f>
        <v>Anmälningsavgifter</v>
      </c>
      <c r="C64" s="210">
        <v>-95000</v>
      </c>
      <c r="D64" s="210">
        <v>-95000</v>
      </c>
      <c r="E64" s="263">
        <v>-95144</v>
      </c>
      <c r="F64" s="239">
        <f t="shared" si="3"/>
        <v>-144</v>
      </c>
      <c r="G64" s="239"/>
      <c r="H64" s="290">
        <f>'2025'!E64</f>
        <v>-92785.22</v>
      </c>
      <c r="I64" s="290">
        <v>-107766.41</v>
      </c>
      <c r="J64" s="290">
        <v>-75575.460000000006</v>
      </c>
      <c r="K64" s="290">
        <v>-55430</v>
      </c>
      <c r="L64" s="188">
        <v>-21495</v>
      </c>
      <c r="M64" s="290">
        <v>-58541</v>
      </c>
      <c r="N64" s="188">
        <v>-47558</v>
      </c>
      <c r="O64" s="188">
        <v>-36647</v>
      </c>
      <c r="P64" s="188">
        <v>-32651</v>
      </c>
      <c r="Q64" s="171">
        <v>-22460</v>
      </c>
      <c r="R64" s="153">
        <v>-38723</v>
      </c>
      <c r="S64" s="127">
        <v>-44933</v>
      </c>
    </row>
    <row r="65" spans="1:19" x14ac:dyDescent="0.25">
      <c r="A65" s="24" t="str">
        <f>"4012"</f>
        <v>4012</v>
      </c>
      <c r="B65" s="5" t="str">
        <f>"transportkostnader"</f>
        <v>transportkostnader</v>
      </c>
      <c r="C65" s="210">
        <v>-7500</v>
      </c>
      <c r="D65" s="210">
        <v>-8000</v>
      </c>
      <c r="E65" s="263">
        <v>-2544</v>
      </c>
      <c r="F65" s="255">
        <f t="shared" si="3"/>
        <v>5456</v>
      </c>
      <c r="G65" s="239"/>
      <c r="H65" s="290">
        <f>'2025'!E65</f>
        <v>-7830</v>
      </c>
      <c r="I65" s="290">
        <v>-5802</v>
      </c>
      <c r="J65" s="290">
        <v>-10084.43</v>
      </c>
      <c r="K65" s="290"/>
      <c r="L65" s="188">
        <v>-2978</v>
      </c>
      <c r="M65" s="290">
        <v>-2860.91</v>
      </c>
      <c r="N65" s="188">
        <v>-5802</v>
      </c>
      <c r="O65" s="188"/>
      <c r="P65" s="188">
        <v>-4867</v>
      </c>
      <c r="Q65" s="171">
        <v>-3587.5</v>
      </c>
      <c r="R65" s="153">
        <v>-3897.5</v>
      </c>
      <c r="S65" s="127">
        <v>-10378</v>
      </c>
    </row>
    <row r="66" spans="1:19" x14ac:dyDescent="0.25">
      <c r="A66" s="24" t="str">
        <f>"4013"</f>
        <v>4013</v>
      </c>
      <c r="B66" s="5" t="str">
        <f>"Kost och logi under tävlingar"</f>
        <v>Kost och logi under tävlingar</v>
      </c>
      <c r="C66" s="210">
        <v>-50000</v>
      </c>
      <c r="D66" s="210">
        <v>-60000</v>
      </c>
      <c r="E66" s="263">
        <v>-47390</v>
      </c>
      <c r="F66" s="239">
        <f t="shared" si="3"/>
        <v>12610</v>
      </c>
      <c r="G66" s="239"/>
      <c r="H66" s="290">
        <f>'2025'!E66</f>
        <v>-46815</v>
      </c>
      <c r="I66" s="290">
        <v>-55645</v>
      </c>
      <c r="J66" s="290">
        <v>-44520</v>
      </c>
      <c r="K66" s="290">
        <v>-37100</v>
      </c>
      <c r="L66" s="188">
        <v>-7400</v>
      </c>
      <c r="M66" s="290">
        <v>-39765.21</v>
      </c>
      <c r="N66" s="188">
        <v>-48567.06</v>
      </c>
      <c r="O66" s="188">
        <v>-14830</v>
      </c>
      <c r="P66" s="188">
        <v>-11800</v>
      </c>
      <c r="Q66" s="171">
        <v>-5360</v>
      </c>
      <c r="R66" s="153">
        <v>-12490</v>
      </c>
      <c r="S66" s="127">
        <v>-3540</v>
      </c>
    </row>
    <row r="67" spans="1:19" x14ac:dyDescent="0.25">
      <c r="A67" s="24" t="str">
        <f>"4014"</f>
        <v>4014</v>
      </c>
      <c r="B67" s="5" t="str">
        <f>"Övriga tävlingskostnader"</f>
        <v>Övriga tävlingskostnader</v>
      </c>
      <c r="C67" s="210"/>
      <c r="D67" s="210"/>
      <c r="E67" s="263"/>
      <c r="F67" s="239">
        <f t="shared" si="3"/>
        <v>0</v>
      </c>
      <c r="G67" s="239"/>
      <c r="H67" s="290">
        <f>'2025'!E67</f>
        <v>0</v>
      </c>
      <c r="I67" s="290">
        <v>0</v>
      </c>
      <c r="J67" s="290">
        <v>-2815.56</v>
      </c>
      <c r="K67" s="290">
        <v>-700</v>
      </c>
      <c r="L67" s="188">
        <v>-649</v>
      </c>
      <c r="M67" s="290"/>
      <c r="N67" s="188"/>
      <c r="O67" s="188"/>
      <c r="P67" s="188">
        <v>-3114</v>
      </c>
      <c r="Q67" s="171"/>
      <c r="R67" s="153"/>
      <c r="S67" s="127"/>
    </row>
    <row r="68" spans="1:19" x14ac:dyDescent="0.25">
      <c r="A68" s="24" t="str">
        <f>"4020"</f>
        <v>4020</v>
      </c>
      <c r="B68" s="5" t="s">
        <v>175</v>
      </c>
      <c r="C68" s="210">
        <v>-10000</v>
      </c>
      <c r="D68" s="210">
        <v>0</v>
      </c>
      <c r="E68" s="263">
        <v>-5000</v>
      </c>
      <c r="F68" s="255">
        <f t="shared" si="3"/>
        <v>-5000</v>
      </c>
      <c r="G68" s="239"/>
      <c r="H68" s="290">
        <f>'2025'!E68</f>
        <v>0</v>
      </c>
      <c r="I68" s="290">
        <v>-2259</v>
      </c>
      <c r="J68" s="290">
        <v>-6068</v>
      </c>
      <c r="K68" s="290"/>
      <c r="L68" s="188">
        <v>0</v>
      </c>
      <c r="M68" s="290">
        <v>-19782.400000000001</v>
      </c>
      <c r="N68" s="188">
        <v>-1010</v>
      </c>
      <c r="O68" s="188">
        <v>-8635</v>
      </c>
      <c r="P68" s="188">
        <v>-8784</v>
      </c>
      <c r="Q68" s="171">
        <v>-2060</v>
      </c>
      <c r="R68" s="153">
        <v>-1526</v>
      </c>
      <c r="S68" s="127">
        <v>-4627</v>
      </c>
    </row>
    <row r="69" spans="1:19" x14ac:dyDescent="0.25">
      <c r="A69" s="24" t="str">
        <f>"4021"</f>
        <v>4021</v>
      </c>
      <c r="B69" s="5" t="str">
        <f>"Anmälningsavgifter, Läger"</f>
        <v>Anmälningsavgifter, Läger</v>
      </c>
      <c r="C69" s="210"/>
      <c r="D69" s="210"/>
      <c r="E69" s="263"/>
      <c r="F69" s="239">
        <f t="shared" si="3"/>
        <v>0</v>
      </c>
      <c r="G69" s="239"/>
      <c r="H69" s="290">
        <f>'2025'!E69</f>
        <v>0</v>
      </c>
      <c r="I69" s="290">
        <v>-45000</v>
      </c>
      <c r="J69" s="290">
        <v>-77188</v>
      </c>
      <c r="K69" s="290">
        <v>-12800</v>
      </c>
      <c r="L69" s="188"/>
      <c r="M69" s="290"/>
      <c r="N69" s="188"/>
      <c r="O69" s="188"/>
      <c r="P69" s="188"/>
      <c r="Q69" s="171"/>
      <c r="R69" s="153"/>
      <c r="S69" s="127"/>
    </row>
    <row r="70" spans="1:19" x14ac:dyDescent="0.25">
      <c r="A70" s="24" t="str">
        <f>"4022"</f>
        <v>4022</v>
      </c>
      <c r="B70" s="5" t="str">
        <f>"Transportkostnader, Läger"</f>
        <v>Transportkostnader, Läger</v>
      </c>
      <c r="C70" s="210"/>
      <c r="D70" s="210"/>
      <c r="E70" s="263"/>
      <c r="F70" s="239">
        <f t="shared" si="3"/>
        <v>0</v>
      </c>
      <c r="G70" s="239"/>
      <c r="H70" s="290">
        <f>'2025'!E70</f>
        <v>0</v>
      </c>
      <c r="I70" s="290"/>
      <c r="J70" s="290"/>
      <c r="K70" s="290"/>
      <c r="L70" s="188"/>
      <c r="M70" s="290"/>
      <c r="N70" s="188"/>
      <c r="O70" s="188"/>
      <c r="P70" s="188"/>
      <c r="Q70" s="171"/>
      <c r="R70" s="153"/>
      <c r="S70" s="127"/>
    </row>
    <row r="71" spans="1:19" x14ac:dyDescent="0.25">
      <c r="A71" s="24" t="s">
        <v>30</v>
      </c>
      <c r="B71" s="5" t="s">
        <v>125</v>
      </c>
      <c r="C71" s="210"/>
      <c r="D71" s="210"/>
      <c r="E71" s="263"/>
      <c r="F71" s="239">
        <f t="shared" si="3"/>
        <v>0</v>
      </c>
      <c r="G71" s="239"/>
      <c r="H71" s="290">
        <f>'2025'!E71</f>
        <v>0</v>
      </c>
      <c r="I71" s="290"/>
      <c r="J71" s="290"/>
      <c r="K71" s="290"/>
      <c r="L71" s="188">
        <v>0</v>
      </c>
      <c r="M71" s="290">
        <v>0</v>
      </c>
      <c r="N71" s="188">
        <v>-35531</v>
      </c>
      <c r="O71" s="188">
        <v>-40685</v>
      </c>
      <c r="P71" s="188"/>
      <c r="Q71" s="171">
        <v>-1700</v>
      </c>
      <c r="R71" s="153"/>
      <c r="S71" s="127"/>
    </row>
    <row r="72" spans="1:19" x14ac:dyDescent="0.25">
      <c r="A72" s="24" t="str">
        <f>"4024"</f>
        <v>4024</v>
      </c>
      <c r="B72" s="5" t="str">
        <f>"SM läger"</f>
        <v>SM läger</v>
      </c>
      <c r="C72" s="210">
        <v>-125000</v>
      </c>
      <c r="D72" s="210">
        <v>-75000</v>
      </c>
      <c r="E72" s="263">
        <v>-127290</v>
      </c>
      <c r="F72" s="239">
        <f t="shared" si="3"/>
        <v>-52290</v>
      </c>
      <c r="G72" s="239"/>
      <c r="H72" s="290">
        <f>'2025'!E72</f>
        <v>-70000</v>
      </c>
      <c r="I72" s="290">
        <v>-68700</v>
      </c>
      <c r="J72" s="290">
        <v>-54000</v>
      </c>
      <c r="K72" s="290"/>
      <c r="L72" s="188">
        <v>0</v>
      </c>
      <c r="M72" s="290">
        <v>-72670.100000000006</v>
      </c>
      <c r="N72" s="188">
        <v>-45362.8</v>
      </c>
      <c r="O72" s="188">
        <v>-57295</v>
      </c>
      <c r="P72" s="188">
        <v>-43666</v>
      </c>
      <c r="Q72" s="171">
        <v>-33695</v>
      </c>
      <c r="R72" s="153">
        <v>-16960</v>
      </c>
      <c r="S72" s="127">
        <v>-22174</v>
      </c>
    </row>
    <row r="73" spans="1:19" x14ac:dyDescent="0.25">
      <c r="A73" s="24" t="s">
        <v>153</v>
      </c>
      <c r="B73" s="5" t="s">
        <v>154</v>
      </c>
      <c r="C73" s="210"/>
      <c r="D73" s="210"/>
      <c r="E73" s="263">
        <v>0</v>
      </c>
      <c r="F73" s="239"/>
      <c r="G73" s="239"/>
      <c r="H73" s="290">
        <f>'2025'!E73</f>
        <v>0</v>
      </c>
      <c r="I73" s="290">
        <v>0</v>
      </c>
      <c r="J73" s="290">
        <v>-10014.530000000001</v>
      </c>
      <c r="K73" s="290">
        <v>-6991.85</v>
      </c>
      <c r="L73" s="188">
        <v>-2490</v>
      </c>
      <c r="M73" s="290">
        <v>-9939.5300000000007</v>
      </c>
      <c r="N73" s="188"/>
      <c r="O73" s="188"/>
      <c r="P73" s="188"/>
      <c r="Q73" s="171"/>
      <c r="R73" s="153"/>
      <c r="S73" s="127"/>
    </row>
    <row r="74" spans="1:19" ht="15" customHeight="1" x14ac:dyDescent="0.25">
      <c r="A74" s="24" t="s">
        <v>32</v>
      </c>
      <c r="B74" s="5" t="s">
        <v>164</v>
      </c>
      <c r="C74" s="210">
        <v>-50000</v>
      </c>
      <c r="D74" s="210">
        <v>-50000</v>
      </c>
      <c r="E74" s="263">
        <v>-42300</v>
      </c>
      <c r="F74" s="239">
        <f t="shared" ref="F74:F88" si="4">-(D74-E74)</f>
        <v>7700</v>
      </c>
      <c r="G74" s="239"/>
      <c r="H74" s="290">
        <f>'2025'!E74</f>
        <v>-82100</v>
      </c>
      <c r="I74" s="290">
        <v>-35600</v>
      </c>
      <c r="J74" s="290">
        <v>-48800</v>
      </c>
      <c r="K74" s="290">
        <v>-37785</v>
      </c>
      <c r="L74" s="188">
        <v>-23624</v>
      </c>
      <c r="M74" s="290">
        <v>-169881.18</v>
      </c>
      <c r="N74" s="188">
        <v>-66249.5</v>
      </c>
      <c r="O74" s="188">
        <v>-37771</v>
      </c>
      <c r="P74" s="188">
        <v>-35043</v>
      </c>
      <c r="Q74" s="171">
        <v>-51908</v>
      </c>
      <c r="R74" s="153">
        <v>-68237</v>
      </c>
      <c r="S74" s="127">
        <v>-44493</v>
      </c>
    </row>
    <row r="75" spans="1:19" ht="15" customHeight="1" x14ac:dyDescent="0.25">
      <c r="A75" s="24" t="s">
        <v>165</v>
      </c>
      <c r="B75" s="5" t="s">
        <v>166</v>
      </c>
      <c r="C75" s="210">
        <v>-40000</v>
      </c>
      <c r="D75" s="210">
        <v>-25000</v>
      </c>
      <c r="E75" s="263">
        <v>-20000</v>
      </c>
      <c r="F75" s="239">
        <f t="shared" si="4"/>
        <v>5000</v>
      </c>
      <c r="G75" s="239"/>
      <c r="H75" s="290">
        <f>'2025'!E75</f>
        <v>-39200</v>
      </c>
      <c r="I75" s="290">
        <v>-24000</v>
      </c>
      <c r="J75" s="290">
        <v>-6500</v>
      </c>
      <c r="K75" s="290"/>
      <c r="L75" s="188">
        <v>-25399</v>
      </c>
      <c r="M75" s="290"/>
      <c r="N75" s="188"/>
      <c r="O75" s="188"/>
      <c r="P75" s="188"/>
      <c r="Q75" s="171"/>
      <c r="R75" s="153"/>
      <c r="S75" s="127"/>
    </row>
    <row r="76" spans="1:19" x14ac:dyDescent="0.25">
      <c r="A76" s="24" t="str">
        <f>"4110"</f>
        <v>4110</v>
      </c>
      <c r="B76" s="5" t="str">
        <f>"Kostnader Kanotskolan"</f>
        <v>Kostnader Kanotskolan</v>
      </c>
      <c r="C76" s="210">
        <v>-10000</v>
      </c>
      <c r="D76" s="210">
        <v>-10000</v>
      </c>
      <c r="E76" s="263">
        <v>-6880</v>
      </c>
      <c r="F76" s="255">
        <f t="shared" si="4"/>
        <v>3120</v>
      </c>
      <c r="G76" s="239"/>
      <c r="H76" s="290">
        <f>'2025'!E76</f>
        <v>-9526</v>
      </c>
      <c r="I76" s="290">
        <v>-5200.8500000000004</v>
      </c>
      <c r="J76" s="290">
        <v>-10138</v>
      </c>
      <c r="K76" s="290">
        <v>-13495.75</v>
      </c>
      <c r="L76" s="188">
        <v>-8149.49</v>
      </c>
      <c r="M76" s="290">
        <v>-9331.7900000000009</v>
      </c>
      <c r="N76" s="188">
        <v>-11894</v>
      </c>
      <c r="O76" s="188">
        <v>-20019</v>
      </c>
      <c r="P76" s="188">
        <v>-12819.4</v>
      </c>
      <c r="Q76" s="171">
        <v>-14874</v>
      </c>
      <c r="R76" s="153">
        <v>-18212</v>
      </c>
      <c r="S76" s="127">
        <v>-8052</v>
      </c>
    </row>
    <row r="77" spans="1:19" x14ac:dyDescent="0.25">
      <c r="A77" s="24" t="s">
        <v>34</v>
      </c>
      <c r="B77" s="5" t="s">
        <v>141</v>
      </c>
      <c r="C77" s="210">
        <v>-2000</v>
      </c>
      <c r="D77" s="210">
        <v>-4000</v>
      </c>
      <c r="E77" s="263">
        <v>-2025</v>
      </c>
      <c r="F77" s="255">
        <f t="shared" si="4"/>
        <v>1975</v>
      </c>
      <c r="G77" s="239"/>
      <c r="H77" s="290">
        <f>'2025'!E77</f>
        <v>-2265</v>
      </c>
      <c r="I77" s="290">
        <v>-1800</v>
      </c>
      <c r="J77" s="290">
        <v>-11850</v>
      </c>
      <c r="K77" s="290">
        <v>-3810</v>
      </c>
      <c r="L77" s="188">
        <v>0</v>
      </c>
      <c r="M77" s="290">
        <v>0</v>
      </c>
      <c r="N77" s="188">
        <v>0</v>
      </c>
      <c r="O77" s="188">
        <v>-2800</v>
      </c>
      <c r="P77" s="188">
        <v>-3200</v>
      </c>
      <c r="Q77" s="171">
        <v>-4100</v>
      </c>
      <c r="R77" s="153">
        <v>-10300</v>
      </c>
      <c r="S77" s="127">
        <v>-3600</v>
      </c>
    </row>
    <row r="78" spans="1:19" x14ac:dyDescent="0.25">
      <c r="A78" s="24" t="str">
        <f>"4120"</f>
        <v>4120</v>
      </c>
      <c r="B78" s="5" t="str">
        <f>"Kostnad ungdomsverksamhet"</f>
        <v>Kostnad ungdomsverksamhet</v>
      </c>
      <c r="C78" s="210">
        <v>-20000</v>
      </c>
      <c r="D78" s="210">
        <v>-20000</v>
      </c>
      <c r="E78" s="263">
        <v>0</v>
      </c>
      <c r="F78" s="255">
        <f t="shared" si="4"/>
        <v>20000</v>
      </c>
      <c r="G78" s="239"/>
      <c r="H78" s="290">
        <f>'2025'!E78</f>
        <v>-20309.95</v>
      </c>
      <c r="I78" s="290">
        <v>-6942.83</v>
      </c>
      <c r="J78" s="290">
        <v>-8656</v>
      </c>
      <c r="K78" s="290">
        <v>-17921.63</v>
      </c>
      <c r="L78" s="188">
        <v>-20147.099999999999</v>
      </c>
      <c r="M78" s="290">
        <v>-26262.38</v>
      </c>
      <c r="N78" s="188">
        <v>-14082</v>
      </c>
      <c r="O78" s="188">
        <v>-32802</v>
      </c>
      <c r="P78" s="188">
        <v>-20082.7</v>
      </c>
      <c r="Q78" s="171">
        <v>-15443</v>
      </c>
      <c r="R78" s="153">
        <v>-10865</v>
      </c>
      <c r="S78" s="127">
        <v>-6599</v>
      </c>
    </row>
    <row r="79" spans="1:19" x14ac:dyDescent="0.25">
      <c r="A79" s="24" t="s">
        <v>142</v>
      </c>
      <c r="B79" s="5" t="s">
        <v>37</v>
      </c>
      <c r="C79" s="210">
        <v>0</v>
      </c>
      <c r="D79" s="210">
        <v>0</v>
      </c>
      <c r="E79" s="263"/>
      <c r="F79" s="239">
        <f t="shared" si="4"/>
        <v>0</v>
      </c>
      <c r="G79" s="239"/>
      <c r="H79" s="290">
        <f>'2025'!E79</f>
        <v>0</v>
      </c>
      <c r="I79" s="290">
        <v>0</v>
      </c>
      <c r="J79" s="290">
        <v>0</v>
      </c>
      <c r="K79" s="290"/>
      <c r="L79" s="188">
        <v>-10650</v>
      </c>
      <c r="M79" s="290">
        <v>0</v>
      </c>
      <c r="N79" s="188">
        <v>-14500</v>
      </c>
      <c r="O79" s="188">
        <v>-18859</v>
      </c>
      <c r="P79" s="188">
        <v>-10144</v>
      </c>
      <c r="Q79" s="171"/>
      <c r="R79" s="153"/>
      <c r="S79" s="127"/>
    </row>
    <row r="80" spans="1:19" x14ac:dyDescent="0.25">
      <c r="A80" s="24" t="s">
        <v>143</v>
      </c>
      <c r="B80" s="5" t="s">
        <v>205</v>
      </c>
      <c r="C80" s="210">
        <v>-10000</v>
      </c>
      <c r="D80" s="210"/>
      <c r="F80" s="239">
        <f t="shared" si="4"/>
        <v>0</v>
      </c>
      <c r="G80" s="239"/>
      <c r="H80">
        <f>'2025'!E80</f>
        <v>0</v>
      </c>
      <c r="L80" s="188">
        <v>0</v>
      </c>
      <c r="M80" s="290">
        <v>-34934.9</v>
      </c>
      <c r="N80" s="188">
        <v>-8635</v>
      </c>
      <c r="O80" s="188"/>
      <c r="P80" s="188"/>
      <c r="Q80" s="171"/>
      <c r="R80" s="153"/>
      <c r="S80" s="127"/>
    </row>
    <row r="81" spans="1:24" x14ac:dyDescent="0.25">
      <c r="A81" s="24" t="s">
        <v>167</v>
      </c>
      <c r="B81" s="5" t="s">
        <v>168</v>
      </c>
      <c r="C81" s="210">
        <v>-10000</v>
      </c>
      <c r="D81" s="210">
        <v>-10000</v>
      </c>
      <c r="E81" s="263">
        <v>-12815</v>
      </c>
      <c r="F81" s="239">
        <f t="shared" si="4"/>
        <v>-2815</v>
      </c>
      <c r="G81" s="239"/>
      <c r="H81" s="290">
        <f>'2025'!E81</f>
        <v>-44338.1</v>
      </c>
      <c r="I81" s="290">
        <v>-10175.75</v>
      </c>
      <c r="J81" s="290">
        <v>-34451</v>
      </c>
      <c r="K81" s="290">
        <v>-71464.100000000006</v>
      </c>
      <c r="L81" s="188">
        <v>-9650</v>
      </c>
      <c r="M81" s="290"/>
      <c r="N81" s="188"/>
      <c r="O81" s="188"/>
      <c r="P81" s="188"/>
      <c r="Q81" s="171"/>
      <c r="R81" s="153"/>
      <c r="S81" s="127"/>
    </row>
    <row r="82" spans="1:24" x14ac:dyDescent="0.25">
      <c r="A82" s="24" t="s">
        <v>145</v>
      </c>
      <c r="B82" s="5" t="s">
        <v>192</v>
      </c>
      <c r="C82" s="210">
        <v>0</v>
      </c>
      <c r="D82" s="210">
        <v>0</v>
      </c>
      <c r="E82" s="263"/>
      <c r="F82" s="239">
        <f t="shared" si="4"/>
        <v>0</v>
      </c>
      <c r="G82" s="239"/>
      <c r="H82" s="290">
        <f>'2025'!E82</f>
        <v>0</v>
      </c>
      <c r="I82" s="290">
        <v>-1500</v>
      </c>
      <c r="J82" s="290">
        <v>-1750</v>
      </c>
      <c r="K82" s="290"/>
      <c r="L82" s="188">
        <v>-18000</v>
      </c>
      <c r="M82" s="290">
        <v>-14495</v>
      </c>
      <c r="N82" s="188">
        <v>-14495</v>
      </c>
      <c r="O82" s="188"/>
      <c r="P82" s="188"/>
      <c r="Q82" s="171"/>
      <c r="R82" s="153"/>
      <c r="S82" s="127"/>
    </row>
    <row r="83" spans="1:24" x14ac:dyDescent="0.25">
      <c r="A83" s="24" t="str">
        <f>"4220"</f>
        <v>4220</v>
      </c>
      <c r="B83" s="5" t="s">
        <v>38</v>
      </c>
      <c r="C83" s="210">
        <v>0</v>
      </c>
      <c r="D83" s="210">
        <v>0</v>
      </c>
      <c r="E83" s="263">
        <v>-106592</v>
      </c>
      <c r="F83" s="255">
        <f t="shared" si="4"/>
        <v>-106592</v>
      </c>
      <c r="G83" s="239"/>
      <c r="H83" s="290">
        <f>'2025'!E83</f>
        <v>-172303.81</v>
      </c>
      <c r="I83" s="290">
        <v>-343641.5</v>
      </c>
      <c r="J83" s="290">
        <v>-129000</v>
      </c>
      <c r="K83" s="290">
        <v>-34105</v>
      </c>
      <c r="L83" s="188">
        <v>-43663</v>
      </c>
      <c r="M83" s="290">
        <v>-52093</v>
      </c>
      <c r="N83" s="188">
        <v>-114563</v>
      </c>
      <c r="O83" s="188">
        <v>-25146</v>
      </c>
      <c r="P83" s="188">
        <v>-155862.54999999999</v>
      </c>
      <c r="Q83" s="171">
        <v>-117887.33</v>
      </c>
      <c r="R83" s="153">
        <v>-72611.98</v>
      </c>
      <c r="S83" s="127">
        <v>-83127</v>
      </c>
      <c r="T83" s="161"/>
      <c r="U83" s="162"/>
      <c r="V83" s="162"/>
      <c r="W83" s="162"/>
      <c r="X83" s="4"/>
    </row>
    <row r="84" spans="1:24" x14ac:dyDescent="0.25">
      <c r="A84" s="24" t="s">
        <v>39</v>
      </c>
      <c r="B84" s="5" t="s">
        <v>40</v>
      </c>
      <c r="C84" s="210"/>
      <c r="D84" s="210"/>
      <c r="E84" s="263"/>
      <c r="F84" s="239">
        <f t="shared" si="4"/>
        <v>0</v>
      </c>
      <c r="G84" s="239"/>
      <c r="H84" s="290">
        <f>'2025'!E84</f>
        <v>0</v>
      </c>
      <c r="I84" s="290"/>
      <c r="J84" s="290"/>
      <c r="K84" s="290"/>
      <c r="L84" s="188"/>
      <c r="M84" s="290"/>
      <c r="N84" s="188"/>
      <c r="O84" s="188">
        <v>-7600</v>
      </c>
      <c r="P84" s="188"/>
      <c r="Q84" s="171">
        <v>-2000</v>
      </c>
      <c r="R84" s="153">
        <v>-16508</v>
      </c>
      <c r="S84" s="127">
        <v>-21032</v>
      </c>
    </row>
    <row r="85" spans="1:24" x14ac:dyDescent="0.25">
      <c r="A85" s="24" t="s">
        <v>41</v>
      </c>
      <c r="B85" s="5" t="s">
        <v>42</v>
      </c>
      <c r="C85" s="210"/>
      <c r="D85" s="210"/>
      <c r="E85" s="263"/>
      <c r="F85" s="239">
        <f t="shared" si="4"/>
        <v>0</v>
      </c>
      <c r="G85" s="239"/>
      <c r="H85" s="290">
        <f>'2025'!E85</f>
        <v>0</v>
      </c>
      <c r="I85" s="290"/>
      <c r="J85" s="290"/>
      <c r="K85" s="290"/>
      <c r="L85" s="188"/>
      <c r="M85" s="290"/>
      <c r="N85" s="188"/>
      <c r="O85" s="188"/>
      <c r="P85" s="188"/>
      <c r="Q85" s="171"/>
      <c r="R85" s="153">
        <v>-11300</v>
      </c>
      <c r="S85" s="127"/>
    </row>
    <row r="86" spans="1:24" x14ac:dyDescent="0.25">
      <c r="A86" s="24" t="str">
        <f>"4610"</f>
        <v>4610</v>
      </c>
      <c r="B86" s="5" t="str">
        <f>"Mötesverksamhet"</f>
        <v>Mötesverksamhet</v>
      </c>
      <c r="C86" s="210"/>
      <c r="D86" s="210"/>
      <c r="E86" s="263"/>
      <c r="F86" s="239">
        <f t="shared" si="4"/>
        <v>0</v>
      </c>
      <c r="G86" s="239"/>
      <c r="H86" s="290">
        <f>'2025'!E86</f>
        <v>0</v>
      </c>
      <c r="I86" s="290">
        <v>0</v>
      </c>
      <c r="J86" s="290">
        <v>0</v>
      </c>
      <c r="K86" s="290"/>
      <c r="L86" s="188">
        <v>-263.37</v>
      </c>
      <c r="M86" s="290">
        <v>-2832</v>
      </c>
      <c r="N86" s="188">
        <v>-7165.2</v>
      </c>
      <c r="O86" s="188">
        <v>-1182.45</v>
      </c>
      <c r="P86" s="188">
        <v>-4700</v>
      </c>
      <c r="Q86" s="171">
        <v>-8029</v>
      </c>
      <c r="R86" s="153">
        <v>-663</v>
      </c>
      <c r="S86" s="127">
        <v>-223</v>
      </c>
    </row>
    <row r="87" spans="1:24" x14ac:dyDescent="0.25">
      <c r="A87" s="24" t="s">
        <v>43</v>
      </c>
      <c r="B87" s="5" t="s">
        <v>44</v>
      </c>
      <c r="C87" s="210"/>
      <c r="D87" s="210"/>
      <c r="E87" s="263"/>
      <c r="F87" s="239">
        <f t="shared" si="4"/>
        <v>0</v>
      </c>
      <c r="G87" s="239"/>
      <c r="H87" s="290">
        <f>'2025'!E87</f>
        <v>0</v>
      </c>
      <c r="I87" s="290"/>
      <c r="J87" s="290"/>
      <c r="K87" s="290"/>
      <c r="L87" s="188"/>
      <c r="M87" s="290"/>
      <c r="N87" s="188"/>
      <c r="O87" s="188"/>
      <c r="P87" s="188"/>
      <c r="Q87" s="171"/>
      <c r="R87" s="153"/>
      <c r="S87" s="127"/>
    </row>
    <row r="88" spans="1:24" x14ac:dyDescent="0.25">
      <c r="A88" s="24" t="str">
        <f>"4710"</f>
        <v>4710</v>
      </c>
      <c r="B88" s="5" t="str">
        <f>"Märken och priser"</f>
        <v>Märken och priser</v>
      </c>
      <c r="C88" s="210">
        <v>0</v>
      </c>
      <c r="D88" s="210">
        <v>0</v>
      </c>
      <c r="E88" s="263"/>
      <c r="F88" s="239">
        <f t="shared" si="4"/>
        <v>0</v>
      </c>
      <c r="G88" s="239"/>
      <c r="H88" s="290">
        <f>'2025'!E88</f>
        <v>0</v>
      </c>
      <c r="I88" s="290"/>
      <c r="J88" s="290"/>
      <c r="K88" s="290"/>
      <c r="L88" s="188">
        <v>0</v>
      </c>
      <c r="M88" s="290">
        <v>-1268.8</v>
      </c>
      <c r="N88" s="188">
        <v>-6469</v>
      </c>
      <c r="O88" s="188">
        <v>-4401</v>
      </c>
      <c r="P88" s="188">
        <v>-4127</v>
      </c>
      <c r="Q88" s="171">
        <v>-3630</v>
      </c>
      <c r="R88" s="153">
        <v>-3710</v>
      </c>
      <c r="S88" s="127">
        <v>-6310</v>
      </c>
    </row>
    <row r="89" spans="1:24" x14ac:dyDescent="0.25">
      <c r="A89" s="24" t="str">
        <f>"4800"</f>
        <v>4800</v>
      </c>
      <c r="B89" s="5" t="str">
        <f>"Medlemmarnas pengar"</f>
        <v>Medlemmarnas pengar</v>
      </c>
      <c r="C89" s="210"/>
      <c r="D89" s="210"/>
      <c r="E89" s="263"/>
      <c r="F89" s="239"/>
      <c r="G89" s="239"/>
      <c r="H89" s="290">
        <f>'2025'!E89</f>
        <v>0</v>
      </c>
      <c r="I89" s="290"/>
      <c r="J89" s="290"/>
      <c r="K89" s="290"/>
      <c r="L89" s="188"/>
      <c r="M89" s="290"/>
      <c r="N89" s="188"/>
      <c r="O89" s="188"/>
      <c r="P89" s="188"/>
      <c r="Q89" s="171"/>
      <c r="R89" s="153"/>
      <c r="S89" s="127"/>
    </row>
    <row r="90" spans="1:24" x14ac:dyDescent="0.25">
      <c r="A90" s="26"/>
      <c r="B90" s="6"/>
      <c r="C90" s="210"/>
      <c r="D90" s="210"/>
      <c r="E90" s="263"/>
      <c r="F90" s="239"/>
      <c r="G90" s="239"/>
      <c r="H90" s="290">
        <f>'2025'!E90</f>
        <v>0</v>
      </c>
      <c r="I90" s="290"/>
      <c r="J90" s="290"/>
      <c r="K90" s="290"/>
      <c r="L90" s="188"/>
      <c r="M90" s="290"/>
      <c r="N90" s="188"/>
      <c r="O90" s="188"/>
      <c r="P90" s="188"/>
      <c r="Q90" s="6"/>
      <c r="R90" s="153"/>
      <c r="S90" s="129"/>
    </row>
    <row r="91" spans="1:24" s="1" customFormat="1" ht="15.75" thickBot="1" x14ac:dyDescent="0.3">
      <c r="A91" s="27" t="str">
        <f>"S:a Råvaror och förnödenheter mm"</f>
        <v>S:a Råvaror och förnödenheter mm</v>
      </c>
      <c r="B91" s="14"/>
      <c r="C91" s="212">
        <f>SUM(C64:C89)</f>
        <v>-429500</v>
      </c>
      <c r="D91" s="212">
        <f>SUM(D64:D89)</f>
        <v>-357000</v>
      </c>
      <c r="E91" s="265">
        <f>SUM(E63:E89)</f>
        <v>-467980</v>
      </c>
      <c r="F91" s="240"/>
      <c r="G91" s="240"/>
      <c r="H91" s="292">
        <f>'2025'!E91</f>
        <v>-587473.07999999996</v>
      </c>
      <c r="I91" s="292">
        <f>SUM(I63:I89)</f>
        <v>-714033.34000000008</v>
      </c>
      <c r="J91" s="292">
        <v>-531410.98</v>
      </c>
      <c r="K91" s="292">
        <f>SUM(K63:K89)</f>
        <v>-291603.33</v>
      </c>
      <c r="L91" s="189">
        <v>-194557.96</v>
      </c>
      <c r="M91" s="292">
        <f>SUM(M63:M89)</f>
        <v>-514658.19999999995</v>
      </c>
      <c r="N91" s="189">
        <f t="shared" ref="N91:S91" si="5">SUM(N63:N89)</f>
        <v>-442786.36</v>
      </c>
      <c r="O91" s="189">
        <f t="shared" si="5"/>
        <v>-308672.45</v>
      </c>
      <c r="P91" s="189">
        <f t="shared" si="5"/>
        <v>-350860.65</v>
      </c>
      <c r="Q91" s="170">
        <f t="shared" si="5"/>
        <v>-286733.83</v>
      </c>
      <c r="R91" s="109">
        <f t="shared" si="5"/>
        <v>-286003.48</v>
      </c>
      <c r="S91" s="119">
        <f t="shared" si="5"/>
        <v>-259088</v>
      </c>
    </row>
    <row r="92" spans="1:24" x14ac:dyDescent="0.25">
      <c r="A92" s="19"/>
      <c r="B92" s="20"/>
      <c r="C92" s="205"/>
      <c r="D92" s="205"/>
      <c r="E92" s="266"/>
      <c r="F92" s="241"/>
      <c r="G92" s="241"/>
      <c r="H92" s="293">
        <f>'2025'!E92</f>
        <v>0</v>
      </c>
      <c r="I92" s="293"/>
      <c r="J92" s="293"/>
      <c r="K92" s="293"/>
      <c r="L92" s="190"/>
      <c r="M92" s="293"/>
      <c r="N92" s="190"/>
      <c r="O92" s="190"/>
      <c r="P92" s="190"/>
      <c r="Q92" s="168"/>
      <c r="R92" s="155"/>
      <c r="S92" s="128"/>
    </row>
    <row r="93" spans="1:24" x14ac:dyDescent="0.25">
      <c r="A93" s="26"/>
      <c r="B93" s="6"/>
      <c r="C93" s="203"/>
      <c r="D93" s="203"/>
      <c r="E93" s="263"/>
      <c r="F93" s="239"/>
      <c r="G93" s="239"/>
      <c r="H93" s="290">
        <f>'2025'!E93</f>
        <v>0</v>
      </c>
      <c r="I93" s="290"/>
      <c r="J93" s="290"/>
      <c r="K93" s="290"/>
      <c r="L93" s="188"/>
      <c r="M93" s="290"/>
      <c r="N93" s="188"/>
      <c r="O93" s="188"/>
      <c r="P93" s="188"/>
      <c r="Q93" s="6"/>
      <c r="R93" s="153"/>
      <c r="S93" s="129"/>
    </row>
    <row r="94" spans="1:24" s="1" customFormat="1" ht="15.75" thickBot="1" x14ac:dyDescent="0.3">
      <c r="A94" s="27" t="str">
        <f>"Bruttovinst"</f>
        <v>Bruttovinst</v>
      </c>
      <c r="B94" s="14"/>
      <c r="C94" s="212">
        <f>C59+C91</f>
        <v>307750</v>
      </c>
      <c r="D94" s="212">
        <f>D59+D91</f>
        <v>381500</v>
      </c>
      <c r="E94" s="265">
        <f>E59+E91</f>
        <v>416425</v>
      </c>
      <c r="F94" s="240"/>
      <c r="G94" s="240"/>
      <c r="H94" s="292">
        <f>'2025'!E94</f>
        <v>687324.12</v>
      </c>
      <c r="I94" s="292">
        <f>I59+I91</f>
        <v>204337.92999999993</v>
      </c>
      <c r="J94" s="292">
        <v>118452.35999999999</v>
      </c>
      <c r="K94" s="292">
        <f>K59+K91</f>
        <v>251182.72000000003</v>
      </c>
      <c r="L94" s="189">
        <v>325785.30999999994</v>
      </c>
      <c r="M94" s="292">
        <f>M59+M91</f>
        <v>188353.40000000002</v>
      </c>
      <c r="N94" s="189">
        <f t="shared" ref="N94:S94" si="6">N59+N91</f>
        <v>82312.390000000014</v>
      </c>
      <c r="O94" s="189">
        <f t="shared" si="6"/>
        <v>268565.3</v>
      </c>
      <c r="P94" s="189">
        <f t="shared" si="6"/>
        <v>124867.34999999998</v>
      </c>
      <c r="Q94" s="167">
        <f t="shared" si="6"/>
        <v>147498.5</v>
      </c>
      <c r="R94" s="154">
        <f t="shared" si="6"/>
        <v>266452.52</v>
      </c>
      <c r="S94" s="119">
        <f t="shared" si="6"/>
        <v>152795.5</v>
      </c>
    </row>
    <row r="95" spans="1:24" x14ac:dyDescent="0.25">
      <c r="A95" s="19"/>
      <c r="B95" s="20"/>
      <c r="C95" s="205"/>
      <c r="D95" s="205"/>
      <c r="E95" s="266"/>
      <c r="F95" s="241"/>
      <c r="G95" s="241"/>
      <c r="H95" s="293">
        <f>'2025'!E95</f>
        <v>0</v>
      </c>
      <c r="I95" s="293"/>
      <c r="J95" s="293"/>
      <c r="K95" s="293"/>
      <c r="L95" s="190"/>
      <c r="M95" s="293"/>
      <c r="N95" s="190"/>
      <c r="O95" s="190"/>
      <c r="P95" s="190"/>
      <c r="Q95" s="168"/>
      <c r="R95" s="155"/>
      <c r="S95" s="128"/>
    </row>
    <row r="96" spans="1:24" x14ac:dyDescent="0.25">
      <c r="A96" s="22" t="str">
        <f>"Övriga externa kostnader"</f>
        <v>Övriga externa kostnader</v>
      </c>
      <c r="B96" s="6"/>
      <c r="C96" s="203"/>
      <c r="D96" s="203"/>
      <c r="E96" s="263"/>
      <c r="F96" s="239"/>
      <c r="G96" s="239"/>
      <c r="H96" s="290">
        <f>'2025'!E96</f>
        <v>0</v>
      </c>
      <c r="I96" s="290"/>
      <c r="J96" s="290"/>
      <c r="K96" s="290"/>
      <c r="L96" s="188"/>
      <c r="M96" s="290"/>
      <c r="N96" s="188"/>
      <c r="O96" s="188"/>
      <c r="P96" s="188"/>
      <c r="Q96" s="6"/>
      <c r="R96" s="153"/>
      <c r="S96" s="129"/>
    </row>
    <row r="97" spans="1:19" x14ac:dyDescent="0.25">
      <c r="A97" s="22"/>
      <c r="B97" s="192"/>
      <c r="C97" s="249"/>
      <c r="D97" s="249"/>
      <c r="E97" s="268"/>
      <c r="F97" s="252"/>
      <c r="G97" s="252"/>
      <c r="H97" s="294">
        <f>'2025'!E97</f>
        <v>0</v>
      </c>
      <c r="I97" s="294"/>
      <c r="J97" s="294"/>
      <c r="K97" s="294"/>
      <c r="L97" s="251"/>
      <c r="M97" s="294"/>
      <c r="N97" s="251"/>
      <c r="O97" s="251"/>
      <c r="P97" s="251"/>
      <c r="Q97" s="192"/>
      <c r="R97" s="253"/>
      <c r="S97" s="254"/>
    </row>
    <row r="98" spans="1:19" x14ac:dyDescent="0.25">
      <c r="A98" s="24" t="s">
        <v>176</v>
      </c>
      <c r="B98" s="5" t="s">
        <v>177</v>
      </c>
      <c r="C98" s="210">
        <v>-10000</v>
      </c>
      <c r="D98" s="210">
        <v>-20000</v>
      </c>
      <c r="E98" s="263">
        <v>-5830</v>
      </c>
      <c r="F98" s="239">
        <f t="shared" ref="F98" si="7">-(D98-E98)</f>
        <v>14170</v>
      </c>
      <c r="G98" s="239"/>
      <c r="H98" s="290">
        <f>'2025'!E98</f>
        <v>-16959</v>
      </c>
      <c r="I98" s="290">
        <v>-1152</v>
      </c>
      <c r="J98" s="290">
        <v>-2772</v>
      </c>
      <c r="K98" s="290">
        <v>-198</v>
      </c>
      <c r="L98" s="188"/>
      <c r="M98" s="290"/>
      <c r="N98" s="188"/>
      <c r="O98" s="188"/>
      <c r="P98" s="188"/>
      <c r="Q98" s="171"/>
      <c r="R98" s="153"/>
      <c r="S98" s="127"/>
    </row>
    <row r="99" spans="1:19" x14ac:dyDescent="0.25">
      <c r="A99" s="24" t="s">
        <v>147</v>
      </c>
      <c r="B99" s="5" t="s">
        <v>148</v>
      </c>
      <c r="C99" s="210"/>
      <c r="D99" s="210"/>
      <c r="E99" s="263"/>
      <c r="F99" s="239"/>
      <c r="G99" s="239"/>
      <c r="H99" s="290">
        <f>'2025'!E99</f>
        <v>0</v>
      </c>
      <c r="I99" s="290"/>
      <c r="J99" s="290"/>
      <c r="K99" s="290"/>
      <c r="L99" s="188">
        <v>-4140</v>
      </c>
      <c r="M99" s="290"/>
      <c r="N99" s="188"/>
      <c r="O99" s="188">
        <v>-7077</v>
      </c>
      <c r="P99" s="188"/>
      <c r="Q99" s="171"/>
      <c r="R99" s="153"/>
      <c r="S99" s="127"/>
    </row>
    <row r="100" spans="1:19" x14ac:dyDescent="0.25">
      <c r="A100" s="24" t="s">
        <v>185</v>
      </c>
      <c r="B100" s="5" t="s">
        <v>186</v>
      </c>
      <c r="C100" s="210"/>
      <c r="D100" s="210"/>
      <c r="E100" s="263"/>
      <c r="F100" s="239"/>
      <c r="G100" s="239"/>
      <c r="H100" s="290">
        <f>'2025'!E100</f>
        <v>0</v>
      </c>
      <c r="I100" s="290">
        <v>-7265</v>
      </c>
      <c r="J100" s="290">
        <v>-31803.75</v>
      </c>
      <c r="K100" s="290"/>
      <c r="L100" s="188"/>
      <c r="M100" s="290"/>
      <c r="N100" s="188"/>
      <c r="O100" s="188"/>
      <c r="P100" s="188"/>
      <c r="Q100" s="171"/>
      <c r="R100" s="153"/>
      <c r="S100" s="127"/>
    </row>
    <row r="101" spans="1:19" x14ac:dyDescent="0.25">
      <c r="A101" s="24" t="str">
        <f>"5110"</f>
        <v>5110</v>
      </c>
      <c r="B101" s="5" t="str">
        <f>"Arrende"</f>
        <v>Arrende</v>
      </c>
      <c r="C101" s="210">
        <v>-5500</v>
      </c>
      <c r="D101" s="210">
        <v>-5500</v>
      </c>
      <c r="E101" s="263">
        <v>-5293</v>
      </c>
      <c r="F101" s="239">
        <f t="shared" ref="F101:F124" si="8">-(D101-E101)</f>
        <v>207</v>
      </c>
      <c r="G101" s="239"/>
      <c r="H101" s="290">
        <f>'2025'!E101</f>
        <v>-5211</v>
      </c>
      <c r="I101" s="290">
        <v>-4413</v>
      </c>
      <c r="J101" s="290">
        <v>-4413</v>
      </c>
      <c r="K101" s="290">
        <v>-4292</v>
      </c>
      <c r="L101" s="188">
        <v>-4281</v>
      </c>
      <c r="M101" s="290">
        <v>-4213</v>
      </c>
      <c r="N101" s="188">
        <v>-4119</v>
      </c>
      <c r="O101" s="188">
        <v>-4051</v>
      </c>
      <c r="P101" s="188">
        <v>-4004</v>
      </c>
      <c r="Q101" s="171">
        <v>-4000</v>
      </c>
      <c r="R101" s="153">
        <v>-1643</v>
      </c>
      <c r="S101" s="127">
        <v>-1643</v>
      </c>
    </row>
    <row r="102" spans="1:19" x14ac:dyDescent="0.25">
      <c r="A102" s="24" t="str">
        <f>"5120"</f>
        <v>5120</v>
      </c>
      <c r="B102" s="5" t="str">
        <f>"Elektricitet"</f>
        <v>Elektricitet</v>
      </c>
      <c r="C102" s="210">
        <v>-40000</v>
      </c>
      <c r="D102" s="210">
        <v>-37000</v>
      </c>
      <c r="E102" s="263">
        <v>-36275</v>
      </c>
      <c r="F102" s="239">
        <f t="shared" si="8"/>
        <v>725</v>
      </c>
      <c r="G102" s="239"/>
      <c r="H102" s="290">
        <f>'2025'!E102</f>
        <v>-34497</v>
      </c>
      <c r="I102" s="290">
        <v>-32067</v>
      </c>
      <c r="J102" s="290">
        <v>-43101</v>
      </c>
      <c r="K102" s="290">
        <v>-31211</v>
      </c>
      <c r="L102" s="188">
        <v>-21124</v>
      </c>
      <c r="M102" s="290">
        <v>-32089</v>
      </c>
      <c r="N102" s="188">
        <v>-24974</v>
      </c>
      <c r="O102" s="188">
        <v>-20172</v>
      </c>
      <c r="P102" s="188">
        <v>-15738</v>
      </c>
      <c r="Q102" s="171">
        <v>-21431</v>
      </c>
      <c r="R102" s="153">
        <v>-24526</v>
      </c>
      <c r="S102" s="127">
        <v>-28939</v>
      </c>
    </row>
    <row r="103" spans="1:19" x14ac:dyDescent="0.25">
      <c r="A103" s="24" t="str">
        <f>"5140"</f>
        <v>5140</v>
      </c>
      <c r="B103" s="5" t="str">
        <f>"Vatten och sophämtning"</f>
        <v>Vatten och sophämtning</v>
      </c>
      <c r="C103" s="210">
        <v>-10000</v>
      </c>
      <c r="D103" s="210">
        <v>-12000</v>
      </c>
      <c r="E103" s="263">
        <v>-8189</v>
      </c>
      <c r="F103" s="239">
        <f t="shared" si="8"/>
        <v>3811</v>
      </c>
      <c r="G103" s="239"/>
      <c r="H103" s="290">
        <f>'2025'!E103</f>
        <v>-10654</v>
      </c>
      <c r="I103" s="290">
        <v>-7485</v>
      </c>
      <c r="J103" s="290">
        <v>-6246</v>
      </c>
      <c r="K103" s="290">
        <v>-8149</v>
      </c>
      <c r="L103" s="188">
        <v>-7733</v>
      </c>
      <c r="M103" s="290">
        <v>-9609</v>
      </c>
      <c r="N103" s="188">
        <v>-9718</v>
      </c>
      <c r="O103" s="188">
        <v>-6787</v>
      </c>
      <c r="P103" s="188">
        <v>-4833</v>
      </c>
      <c r="Q103" s="171">
        <v>-6464</v>
      </c>
      <c r="R103" s="153">
        <v>-5849</v>
      </c>
      <c r="S103" s="127">
        <v>-6178</v>
      </c>
    </row>
    <row r="104" spans="1:19" x14ac:dyDescent="0.25">
      <c r="A104" s="24" t="s">
        <v>45</v>
      </c>
      <c r="B104" s="5" t="s">
        <v>46</v>
      </c>
      <c r="C104" s="210">
        <v>0</v>
      </c>
      <c r="D104" s="210">
        <v>-50000</v>
      </c>
      <c r="E104" s="263">
        <v>-60000</v>
      </c>
      <c r="F104" s="255">
        <f t="shared" si="8"/>
        <v>-10000</v>
      </c>
      <c r="G104" s="239"/>
      <c r="H104" s="290">
        <f>'2025'!E104</f>
        <v>0</v>
      </c>
      <c r="I104" s="290"/>
      <c r="J104" s="290"/>
      <c r="K104" s="290"/>
      <c r="L104" s="188">
        <v>0</v>
      </c>
      <c r="M104" s="290">
        <v>-10145</v>
      </c>
      <c r="N104" s="188"/>
      <c r="P104" s="188"/>
      <c r="Q104" s="171">
        <v>-8039.38</v>
      </c>
      <c r="R104" s="153"/>
      <c r="S104" s="127"/>
    </row>
    <row r="105" spans="1:19" x14ac:dyDescent="0.25">
      <c r="A105" s="24" t="str">
        <f>"5170"</f>
        <v>5170</v>
      </c>
      <c r="B105" s="5" t="str">
        <f>"Fastighetsunderhåll"</f>
        <v>Fastighetsunderhåll</v>
      </c>
      <c r="C105" s="210">
        <v>0</v>
      </c>
      <c r="D105" s="210">
        <v>0</v>
      </c>
      <c r="E105" s="263"/>
      <c r="F105" s="239">
        <f t="shared" si="8"/>
        <v>0</v>
      </c>
      <c r="G105" s="239"/>
      <c r="H105" s="290">
        <f>'2025'!E105</f>
        <v>0</v>
      </c>
      <c r="I105" s="290">
        <v>-28220</v>
      </c>
      <c r="J105" s="290"/>
      <c r="K105" s="290"/>
      <c r="L105" s="188">
        <v>-64149</v>
      </c>
      <c r="M105" s="290">
        <v>-10831.7</v>
      </c>
      <c r="N105" s="188">
        <v>-113866.87</v>
      </c>
      <c r="O105" s="188">
        <v>-135001.76999999999</v>
      </c>
      <c r="P105" s="188">
        <v>-1287</v>
      </c>
      <c r="Q105" s="171">
        <v>-5540.5</v>
      </c>
      <c r="R105" s="153">
        <v>-18240</v>
      </c>
      <c r="S105" s="127">
        <v>-53805</v>
      </c>
    </row>
    <row r="106" spans="1:19" x14ac:dyDescent="0.25">
      <c r="A106" s="24" t="s">
        <v>103</v>
      </c>
      <c r="B106" s="5" t="s">
        <v>199</v>
      </c>
      <c r="C106" s="210">
        <v>-50000</v>
      </c>
      <c r="D106" s="210">
        <v>-20000</v>
      </c>
      <c r="E106" s="263"/>
      <c r="F106" s="239"/>
      <c r="G106" s="239"/>
      <c r="H106" s="290">
        <f>'2025'!E106</f>
        <v>-510225</v>
      </c>
      <c r="I106" s="290"/>
      <c r="J106" s="290"/>
      <c r="K106" s="290"/>
      <c r="L106" s="188"/>
      <c r="M106" s="290"/>
      <c r="N106" s="188"/>
      <c r="O106" s="188"/>
      <c r="P106" s="188"/>
      <c r="Q106" s="171"/>
      <c r="R106" s="153"/>
      <c r="S106" s="127"/>
    </row>
    <row r="107" spans="1:19" x14ac:dyDescent="0.25">
      <c r="A107" s="24" t="s">
        <v>47</v>
      </c>
      <c r="B107" s="5" t="s">
        <v>207</v>
      </c>
      <c r="C107" s="210">
        <v>-20000</v>
      </c>
      <c r="D107" s="210"/>
      <c r="E107" s="263"/>
      <c r="F107" s="239">
        <f t="shared" si="8"/>
        <v>0</v>
      </c>
      <c r="G107" s="239"/>
      <c r="H107" s="290">
        <f>'2025'!E107</f>
        <v>0</v>
      </c>
      <c r="I107" s="290"/>
      <c r="J107" s="290"/>
      <c r="K107" s="290"/>
      <c r="L107" s="188"/>
      <c r="M107" s="290"/>
      <c r="N107" s="188"/>
      <c r="O107" s="188"/>
      <c r="P107" s="188"/>
      <c r="Q107" s="171">
        <v>-4006</v>
      </c>
      <c r="R107" s="153">
        <v>-61624.5</v>
      </c>
      <c r="S107" s="127"/>
    </row>
    <row r="108" spans="1:19" x14ac:dyDescent="0.25">
      <c r="A108" s="24" t="s">
        <v>200</v>
      </c>
      <c r="B108" s="5" t="s">
        <v>201</v>
      </c>
      <c r="C108" s="210"/>
      <c r="D108" s="210"/>
      <c r="E108" s="263">
        <v>-7453</v>
      </c>
      <c r="F108" s="239"/>
      <c r="G108" s="239"/>
      <c r="H108" s="290">
        <f>'2025'!E108</f>
        <v>-23000.5</v>
      </c>
      <c r="I108" s="290"/>
      <c r="J108" s="290"/>
      <c r="K108" s="290"/>
      <c r="L108" s="188"/>
      <c r="M108" s="290"/>
      <c r="N108" s="188"/>
      <c r="O108" s="188"/>
      <c r="P108" s="188"/>
      <c r="Q108" s="171"/>
      <c r="R108" s="153"/>
      <c r="S108" s="127"/>
    </row>
    <row r="109" spans="1:19" x14ac:dyDescent="0.25">
      <c r="A109" s="24" t="str">
        <f>"5410"</f>
        <v>5410</v>
      </c>
      <c r="B109" s="5" t="str">
        <f>"Förbrukningsinventarier"</f>
        <v>Förbrukningsinventarier</v>
      </c>
      <c r="C109" s="210"/>
      <c r="D109" s="210"/>
      <c r="E109" s="263"/>
      <c r="F109" s="255">
        <f t="shared" si="8"/>
        <v>0</v>
      </c>
      <c r="G109" s="239"/>
      <c r="H109" s="290">
        <f>'2025'!E109</f>
        <v>0</v>
      </c>
      <c r="I109" s="290">
        <v>0</v>
      </c>
      <c r="J109" s="290">
        <v>0</v>
      </c>
      <c r="K109" s="290">
        <v>-1947.85</v>
      </c>
      <c r="L109" s="188">
        <v>-3406.35</v>
      </c>
      <c r="M109" s="290">
        <v>-16461.900000000001</v>
      </c>
      <c r="N109" s="188">
        <v>-43884.6</v>
      </c>
      <c r="O109" s="188">
        <v>-2639</v>
      </c>
      <c r="P109" s="188">
        <v>-13444</v>
      </c>
      <c r="Q109" s="171">
        <v>-1795</v>
      </c>
      <c r="R109" s="153">
        <v>-1038</v>
      </c>
      <c r="S109" s="127">
        <v>-1675</v>
      </c>
    </row>
    <row r="110" spans="1:19" x14ac:dyDescent="0.25">
      <c r="A110" s="24" t="str">
        <f>"5420"</f>
        <v>5420</v>
      </c>
      <c r="B110" s="5" t="str">
        <f>"Programvaror"</f>
        <v>Programvaror</v>
      </c>
      <c r="C110" s="210">
        <v>-25000</v>
      </c>
      <c r="D110" s="210">
        <v>-15000</v>
      </c>
      <c r="E110" s="263">
        <v>-25284</v>
      </c>
      <c r="F110" s="239">
        <f t="shared" si="8"/>
        <v>-10284</v>
      </c>
      <c r="G110" s="239"/>
      <c r="H110" s="290">
        <f>'2025'!E110</f>
        <v>-14574.78</v>
      </c>
      <c r="I110" s="290">
        <v>-6930</v>
      </c>
      <c r="J110" s="290">
        <v>-213.68</v>
      </c>
      <c r="K110" s="290">
        <v>-206.53</v>
      </c>
      <c r="L110" s="188">
        <v>-211.21</v>
      </c>
      <c r="M110" s="290"/>
      <c r="N110" s="188"/>
      <c r="O110" s="188"/>
      <c r="P110" s="188"/>
      <c r="Q110" s="171"/>
      <c r="R110" s="153">
        <v>-1265</v>
      </c>
      <c r="S110" s="127">
        <v>-1200</v>
      </c>
    </row>
    <row r="111" spans="1:19" x14ac:dyDescent="0.25">
      <c r="A111" s="24" t="s">
        <v>49</v>
      </c>
      <c r="B111" s="5" t="s">
        <v>50</v>
      </c>
      <c r="C111" s="210">
        <v>0</v>
      </c>
      <c r="D111" s="210">
        <v>0</v>
      </c>
      <c r="E111" s="263"/>
      <c r="F111" s="255">
        <f t="shared" si="8"/>
        <v>0</v>
      </c>
      <c r="G111" s="239"/>
      <c r="H111" s="290">
        <f>'2025'!E111</f>
        <v>0</v>
      </c>
      <c r="I111" s="290">
        <v>0</v>
      </c>
      <c r="J111" s="290">
        <v>-2949.3</v>
      </c>
      <c r="K111" s="290">
        <v>-3077.25</v>
      </c>
      <c r="L111" s="188">
        <v>-8152.97</v>
      </c>
      <c r="M111" s="290">
        <v>-9988.17</v>
      </c>
      <c r="N111" s="188">
        <v>-1525.8</v>
      </c>
      <c r="O111" s="188">
        <v>-6039.33</v>
      </c>
      <c r="P111" s="188">
        <v>-1616</v>
      </c>
      <c r="Q111" s="171">
        <v>-3556</v>
      </c>
      <c r="R111" s="153"/>
      <c r="S111" s="127"/>
    </row>
    <row r="112" spans="1:19" x14ac:dyDescent="0.25">
      <c r="A112" s="24" t="str">
        <f>"5500"</f>
        <v>5500</v>
      </c>
      <c r="B112" s="5" t="str">
        <f>"Kanotunderhåll"</f>
        <v>Kanotunderhåll</v>
      </c>
      <c r="C112" s="210">
        <v>-5000</v>
      </c>
      <c r="D112" s="210">
        <v>-3000</v>
      </c>
      <c r="E112" s="263">
        <v>-1650</v>
      </c>
      <c r="F112" s="255">
        <f t="shared" si="8"/>
        <v>1350</v>
      </c>
      <c r="G112" s="239"/>
      <c r="H112" s="290">
        <f>'2025'!E112</f>
        <v>0</v>
      </c>
      <c r="I112" s="290">
        <v>-5458.76</v>
      </c>
      <c r="J112" s="290">
        <v>-1355</v>
      </c>
      <c r="K112" s="290">
        <v>-3746.2</v>
      </c>
      <c r="L112" s="188">
        <v>-735.85</v>
      </c>
      <c r="M112" s="290">
        <v>-1212.7</v>
      </c>
      <c r="N112" s="188">
        <v>-1752.8</v>
      </c>
      <c r="O112" s="188">
        <v>0</v>
      </c>
      <c r="P112" s="188"/>
      <c r="Q112" s="171">
        <v>-2258</v>
      </c>
      <c r="R112" s="153">
        <v>-4670</v>
      </c>
      <c r="S112" s="127">
        <v>-1400</v>
      </c>
    </row>
    <row r="113" spans="1:19" x14ac:dyDescent="0.25">
      <c r="A113" s="24" t="str">
        <f>"5611"</f>
        <v>5611</v>
      </c>
      <c r="B113" s="5" t="s">
        <v>51</v>
      </c>
      <c r="C113" s="210">
        <v>-5000</v>
      </c>
      <c r="D113" s="210">
        <v>-5000</v>
      </c>
      <c r="E113" s="263">
        <v>-3939</v>
      </c>
      <c r="F113" s="239">
        <f t="shared" si="8"/>
        <v>1061</v>
      </c>
      <c r="G113" s="239"/>
      <c r="H113" s="290">
        <f>'2025'!E113</f>
        <v>-4185.51</v>
      </c>
      <c r="I113" s="290">
        <v>-4116.42</v>
      </c>
      <c r="J113" s="290">
        <v>-4756.33</v>
      </c>
      <c r="K113" s="290">
        <v>-4358.88</v>
      </c>
      <c r="L113" s="188">
        <v>-4865.28</v>
      </c>
      <c r="M113" s="290">
        <v>-3277.79</v>
      </c>
      <c r="N113" s="188">
        <v>-2789.82</v>
      </c>
      <c r="O113" s="188">
        <v>1414.08</v>
      </c>
      <c r="P113" s="188">
        <v>-875</v>
      </c>
      <c r="Q113" s="171">
        <v>-1569</v>
      </c>
      <c r="R113" s="153">
        <v>-573</v>
      </c>
      <c r="S113" s="127">
        <v>-1867</v>
      </c>
    </row>
    <row r="114" spans="1:19" x14ac:dyDescent="0.25">
      <c r="A114" s="24" t="str">
        <f>"5612"</f>
        <v>5612</v>
      </c>
      <c r="B114" s="5" t="str">
        <f>"Försäkring"</f>
        <v>Försäkring</v>
      </c>
      <c r="C114" s="210">
        <v>-20000</v>
      </c>
      <c r="D114" s="210">
        <v>-16000</v>
      </c>
      <c r="E114" s="263">
        <v>-14307</v>
      </c>
      <c r="F114" s="255">
        <f t="shared" si="8"/>
        <v>1693</v>
      </c>
      <c r="G114" s="239"/>
      <c r="H114" s="290">
        <f>'2025'!E114</f>
        <v>-15005</v>
      </c>
      <c r="I114" s="290">
        <v>-20296</v>
      </c>
      <c r="J114" s="290">
        <v>-19409</v>
      </c>
      <c r="K114" s="290">
        <v>-19023</v>
      </c>
      <c r="L114" s="188">
        <v>-18509</v>
      </c>
      <c r="M114" s="290">
        <v>-17955</v>
      </c>
      <c r="N114" s="188">
        <v>-21275</v>
      </c>
      <c r="O114" s="188">
        <v>-16185</v>
      </c>
      <c r="P114" s="188">
        <v>-7266</v>
      </c>
      <c r="Q114" s="171">
        <v>-28098</v>
      </c>
      <c r="R114" s="153">
        <v>-27736</v>
      </c>
      <c r="S114" s="127">
        <v>-43706</v>
      </c>
    </row>
    <row r="115" spans="1:19" x14ac:dyDescent="0.25">
      <c r="A115" s="24" t="s">
        <v>52</v>
      </c>
      <c r="B115" s="5" t="s">
        <v>53</v>
      </c>
      <c r="C115" s="210">
        <v>-1500</v>
      </c>
      <c r="D115" s="210">
        <v>-1500</v>
      </c>
      <c r="E115" s="263">
        <v>-1158</v>
      </c>
      <c r="F115" s="255">
        <f t="shared" si="8"/>
        <v>342</v>
      </c>
      <c r="G115" s="239"/>
      <c r="H115" s="290">
        <f>'2025'!E115</f>
        <v>-484</v>
      </c>
      <c r="I115" s="290">
        <v>-1420</v>
      </c>
      <c r="J115" s="290">
        <v>-610</v>
      </c>
      <c r="K115" s="290">
        <v>-954</v>
      </c>
      <c r="L115" s="188">
        <v>-525</v>
      </c>
      <c r="M115" s="290">
        <v>-1714</v>
      </c>
      <c r="N115" s="188"/>
      <c r="O115" s="188"/>
      <c r="P115" s="188"/>
      <c r="Q115" s="171">
        <v>-4371</v>
      </c>
      <c r="R115" s="153"/>
      <c r="S115" s="127">
        <v>-400</v>
      </c>
    </row>
    <row r="116" spans="1:19" x14ac:dyDescent="0.25">
      <c r="A116" s="24" t="s">
        <v>178</v>
      </c>
      <c r="B116" s="5" t="s">
        <v>179</v>
      </c>
      <c r="C116" s="210">
        <v>-20000</v>
      </c>
      <c r="D116" s="210">
        <v>-75000</v>
      </c>
      <c r="E116" s="263">
        <v>-7667</v>
      </c>
      <c r="F116" s="255">
        <f>-(D116-E116)</f>
        <v>67333</v>
      </c>
      <c r="G116" s="239"/>
      <c r="H116" s="290">
        <f>'2025'!E116</f>
        <v>0</v>
      </c>
      <c r="I116" s="290">
        <v>-8072</v>
      </c>
      <c r="J116" s="290">
        <v>0</v>
      </c>
      <c r="K116" s="290">
        <v>-599.5</v>
      </c>
      <c r="L116" s="188"/>
      <c r="M116" s="290"/>
      <c r="N116" s="188"/>
      <c r="O116" s="188"/>
      <c r="P116" s="188"/>
      <c r="Q116" s="171"/>
      <c r="R116" s="153">
        <v>-315</v>
      </c>
      <c r="S116" s="127"/>
    </row>
    <row r="117" spans="1:19" x14ac:dyDescent="0.25">
      <c r="A117" s="24" t="str">
        <f>"5620"</f>
        <v>5620</v>
      </c>
      <c r="B117" s="5" t="s">
        <v>54</v>
      </c>
      <c r="C117" s="210">
        <v>-20000</v>
      </c>
      <c r="D117" s="210">
        <v>-4000</v>
      </c>
      <c r="E117" s="263">
        <v>-62099</v>
      </c>
      <c r="F117" s="255">
        <f t="shared" si="8"/>
        <v>-58099</v>
      </c>
      <c r="G117" s="239"/>
      <c r="H117" s="290">
        <f>'2025'!E117</f>
        <v>-3708.4</v>
      </c>
      <c r="I117" s="290">
        <v>0</v>
      </c>
      <c r="J117" s="290">
        <v>-3358</v>
      </c>
      <c r="K117" s="290">
        <v>-2295</v>
      </c>
      <c r="L117" s="188">
        <v>0</v>
      </c>
      <c r="M117" s="290">
        <v>0</v>
      </c>
      <c r="N117" s="188">
        <v>-1445.9</v>
      </c>
      <c r="O117" s="188">
        <v>-49893</v>
      </c>
      <c r="P117" s="188">
        <v>-2295</v>
      </c>
      <c r="Q117" s="171">
        <v>-8015</v>
      </c>
      <c r="R117" s="153">
        <v>-1476</v>
      </c>
      <c r="S117" s="127">
        <v>-1721</v>
      </c>
    </row>
    <row r="118" spans="1:19" x14ac:dyDescent="0.25">
      <c r="A118" s="24" t="s">
        <v>55</v>
      </c>
      <c r="B118" s="5" t="s">
        <v>56</v>
      </c>
      <c r="C118" s="210">
        <v>0</v>
      </c>
      <c r="D118" s="210">
        <v>0</v>
      </c>
      <c r="E118" s="263"/>
      <c r="F118" s="255">
        <f t="shared" si="8"/>
        <v>0</v>
      </c>
      <c r="G118" s="239"/>
      <c r="H118" s="290">
        <f>'2025'!E118</f>
        <v>0</v>
      </c>
      <c r="I118" s="290">
        <v>-750.2</v>
      </c>
      <c r="J118" s="290"/>
      <c r="K118" s="290"/>
      <c r="L118" s="188"/>
      <c r="M118" s="290"/>
      <c r="N118" s="188"/>
      <c r="O118" s="188"/>
      <c r="P118" s="188"/>
      <c r="Q118" s="171"/>
      <c r="R118" s="153"/>
      <c r="S118" s="127"/>
    </row>
    <row r="119" spans="1:19" x14ac:dyDescent="0.25">
      <c r="A119" s="24" t="str">
        <f>"6110"</f>
        <v>6110</v>
      </c>
      <c r="B119" s="5" t="str">
        <f>"Kontorsmaterial"</f>
        <v>Kontorsmaterial</v>
      </c>
      <c r="C119" s="210"/>
      <c r="D119" s="210"/>
      <c r="E119" s="263"/>
      <c r="F119" s="255">
        <f t="shared" si="8"/>
        <v>0</v>
      </c>
      <c r="G119" s="239"/>
      <c r="H119" s="290">
        <f>'2025'!E119</f>
        <v>0</v>
      </c>
      <c r="I119" s="290">
        <v>0</v>
      </c>
      <c r="J119" s="290"/>
      <c r="K119" s="290"/>
      <c r="L119" s="188"/>
      <c r="M119" s="290"/>
      <c r="N119" s="188"/>
      <c r="O119" s="188"/>
      <c r="P119" s="188">
        <v>-148</v>
      </c>
      <c r="Q119" s="171">
        <v>-1733</v>
      </c>
      <c r="R119" s="153">
        <v>-138</v>
      </c>
      <c r="S119" s="127">
        <v>-115</v>
      </c>
    </row>
    <row r="120" spans="1:19" x14ac:dyDescent="0.25">
      <c r="A120" s="24" t="str">
        <f>"6210"</f>
        <v>6210</v>
      </c>
      <c r="B120" s="5" t="str">
        <f>"Telefon"</f>
        <v>Telefon</v>
      </c>
      <c r="C120" s="210">
        <f>-149*10</f>
        <v>-1490</v>
      </c>
      <c r="D120" s="210">
        <f>-149*10</f>
        <v>-1490</v>
      </c>
      <c r="E120" s="263">
        <v>0</v>
      </c>
      <c r="F120" s="255">
        <f t="shared" si="8"/>
        <v>1490</v>
      </c>
      <c r="G120" s="239"/>
      <c r="H120" s="290">
        <f>'2025'!E120</f>
        <v>0</v>
      </c>
      <c r="I120" s="290"/>
      <c r="J120" s="290"/>
      <c r="K120" s="290"/>
      <c r="L120" s="188"/>
      <c r="M120" s="290"/>
      <c r="N120" s="188"/>
      <c r="O120" s="188"/>
      <c r="P120" s="188"/>
      <c r="Q120" s="171"/>
      <c r="R120" s="153">
        <v>-440</v>
      </c>
      <c r="S120" s="127">
        <v>-1928</v>
      </c>
    </row>
    <row r="121" spans="1:19" x14ac:dyDescent="0.25">
      <c r="A121" s="24" t="str">
        <f>"6250"</f>
        <v>6250</v>
      </c>
      <c r="B121" s="5" t="str">
        <f>"Porto"</f>
        <v>Porto</v>
      </c>
      <c r="C121" s="210"/>
      <c r="D121" s="210"/>
      <c r="E121" s="263"/>
      <c r="F121" s="255">
        <f t="shared" si="8"/>
        <v>0</v>
      </c>
      <c r="G121" s="239"/>
      <c r="H121" s="290">
        <f>'2025'!E121</f>
        <v>0</v>
      </c>
      <c r="I121" s="290"/>
      <c r="J121" s="290"/>
      <c r="K121" s="290"/>
      <c r="L121" s="188"/>
      <c r="M121" s="290"/>
      <c r="N121" s="188"/>
      <c r="O121" s="188"/>
      <c r="P121" s="188">
        <v>-183</v>
      </c>
      <c r="Q121" s="171">
        <v>-140</v>
      </c>
      <c r="R121" s="153">
        <v>-60</v>
      </c>
      <c r="S121" s="127">
        <v>-60</v>
      </c>
    </row>
    <row r="122" spans="1:19" x14ac:dyDescent="0.25">
      <c r="A122" s="24" t="s">
        <v>187</v>
      </c>
      <c r="B122" s="5" t="s">
        <v>188</v>
      </c>
      <c r="C122" s="210">
        <v>-7000</v>
      </c>
      <c r="D122" s="210">
        <v>-7000</v>
      </c>
      <c r="E122" s="263">
        <v>-6694</v>
      </c>
      <c r="F122" s="255"/>
      <c r="G122" s="239"/>
      <c r="H122" s="290">
        <f>'2025'!E122</f>
        <v>-6596</v>
      </c>
      <c r="I122" s="290">
        <v>-4600</v>
      </c>
      <c r="J122" s="290">
        <v>-4600</v>
      </c>
      <c r="K122" s="290"/>
      <c r="L122" s="188"/>
      <c r="M122" s="290"/>
      <c r="N122" s="188"/>
      <c r="O122" s="188"/>
      <c r="P122" s="188"/>
      <c r="Q122" s="171"/>
      <c r="R122" s="153"/>
      <c r="S122" s="127"/>
    </row>
    <row r="123" spans="1:19" x14ac:dyDescent="0.25">
      <c r="A123" s="24" t="s">
        <v>169</v>
      </c>
      <c r="B123" s="5" t="s">
        <v>170</v>
      </c>
      <c r="C123" s="210">
        <v>-12000</v>
      </c>
      <c r="D123" s="210">
        <v>-12000</v>
      </c>
      <c r="E123" s="263">
        <v>-11500</v>
      </c>
      <c r="F123" s="255">
        <f t="shared" si="8"/>
        <v>500</v>
      </c>
      <c r="G123" s="239"/>
      <c r="H123" s="290">
        <f>'2025'!E123</f>
        <v>-5254.52</v>
      </c>
      <c r="I123" s="290">
        <v>-8211.2999999999993</v>
      </c>
      <c r="J123" s="290">
        <v>-7299.5</v>
      </c>
      <c r="K123" s="290">
        <v>-11570.4</v>
      </c>
      <c r="L123" s="188">
        <v>-2667.57</v>
      </c>
      <c r="M123" s="290"/>
      <c r="N123" s="188"/>
      <c r="O123" s="188"/>
      <c r="P123" s="188"/>
      <c r="Q123" s="171"/>
      <c r="R123" s="153"/>
      <c r="S123" s="127"/>
    </row>
    <row r="124" spans="1:19" x14ac:dyDescent="0.25">
      <c r="A124" s="24" t="s">
        <v>127</v>
      </c>
      <c r="B124" s="5" t="s">
        <v>128</v>
      </c>
      <c r="C124" s="210">
        <v>-5500</v>
      </c>
      <c r="D124" s="210">
        <v>-5000</v>
      </c>
      <c r="E124" s="263">
        <v>-4919</v>
      </c>
      <c r="F124" s="255">
        <f t="shared" si="8"/>
        <v>81</v>
      </c>
      <c r="G124" s="239"/>
      <c r="H124" s="290">
        <f>'2025'!E124</f>
        <v>-4597.3599999999997</v>
      </c>
      <c r="I124" s="290">
        <v>-4245</v>
      </c>
      <c r="J124" s="290">
        <v>-4005.89</v>
      </c>
      <c r="K124" s="290">
        <v>-5382</v>
      </c>
      <c r="L124" s="188">
        <v>-6405</v>
      </c>
      <c r="M124" s="290">
        <v>-26174</v>
      </c>
      <c r="N124" s="188">
        <v>-27425</v>
      </c>
      <c r="O124" s="188">
        <v>-16680</v>
      </c>
      <c r="P124" s="188"/>
      <c r="Q124" s="171"/>
      <c r="R124" s="153"/>
      <c r="S124" s="127"/>
    </row>
    <row r="125" spans="1:19" x14ac:dyDescent="0.25">
      <c r="A125" s="24" t="str">
        <f>"6570"</f>
        <v>6570</v>
      </c>
      <c r="B125" s="5" t="str">
        <f>"Bankkostnader"</f>
        <v>Bankkostnader</v>
      </c>
      <c r="C125" s="210">
        <v>-1500</v>
      </c>
      <c r="D125" s="210">
        <v>-1300</v>
      </c>
      <c r="E125" s="263">
        <v>-1403</v>
      </c>
      <c r="F125" s="255">
        <f>-(D125-E125)</f>
        <v>-103</v>
      </c>
      <c r="G125" s="239"/>
      <c r="H125" s="290">
        <f>'2025'!E125</f>
        <v>-1200</v>
      </c>
      <c r="I125" s="290">
        <v>-1233</v>
      </c>
      <c r="J125" s="290">
        <v>-934.5</v>
      </c>
      <c r="K125" s="290">
        <v>-994.5</v>
      </c>
      <c r="L125" s="188">
        <v>-964.5</v>
      </c>
      <c r="M125" s="290">
        <v>-971.99</v>
      </c>
      <c r="N125" s="188">
        <v>-927</v>
      </c>
      <c r="O125" s="188">
        <v>-909</v>
      </c>
      <c r="P125" s="188">
        <v>-615</v>
      </c>
      <c r="Q125" s="171">
        <v>-4.5</v>
      </c>
      <c r="R125" s="153">
        <v>-1869</v>
      </c>
      <c r="S125" s="127">
        <v>-1971</v>
      </c>
    </row>
    <row r="126" spans="1:19" x14ac:dyDescent="0.25">
      <c r="A126" s="24" t="str">
        <f>"6980"</f>
        <v>6980</v>
      </c>
      <c r="B126" s="5" t="str">
        <f>"Föreningsavgift /Licenser"</f>
        <v>Föreningsavgift /Licenser</v>
      </c>
      <c r="C126" s="210">
        <v>-18000</v>
      </c>
      <c r="D126" s="210">
        <v>-15000</v>
      </c>
      <c r="E126" s="263">
        <v>-16970</v>
      </c>
      <c r="F126" s="255">
        <f>-(D126-E126)</f>
        <v>-1970</v>
      </c>
      <c r="G126" s="239"/>
      <c r="H126" s="290">
        <f>'2025'!E126</f>
        <v>-19676</v>
      </c>
      <c r="I126" s="290">
        <v>-11420</v>
      </c>
      <c r="J126" s="290">
        <v>-22176</v>
      </c>
      <c r="K126" s="290">
        <v>-13825</v>
      </c>
      <c r="L126" s="188">
        <v>-19240</v>
      </c>
      <c r="M126" s="290">
        <v>-14550</v>
      </c>
      <c r="N126" s="188">
        <v>-18200</v>
      </c>
      <c r="O126" s="188">
        <v>-23420</v>
      </c>
      <c r="P126" s="188">
        <v>-17180</v>
      </c>
      <c r="Q126" s="171">
        <v>-15790</v>
      </c>
      <c r="R126" s="153">
        <v>-26978</v>
      </c>
      <c r="S126" s="127">
        <v>-24550</v>
      </c>
    </row>
    <row r="127" spans="1:19" x14ac:dyDescent="0.25">
      <c r="A127" s="24" t="str">
        <f>"6990"</f>
        <v>6990</v>
      </c>
      <c r="B127" s="5" t="str">
        <f>"Övriga Kostnader"</f>
        <v>Övriga Kostnader</v>
      </c>
      <c r="C127" s="210">
        <v>0</v>
      </c>
      <c r="D127" s="210">
        <v>-12000</v>
      </c>
      <c r="E127" s="263"/>
      <c r="F127" s="255">
        <f>-(D127-E127)</f>
        <v>12000</v>
      </c>
      <c r="G127" s="239"/>
      <c r="H127" s="290">
        <f>'2025'!E127</f>
        <v>-19056.849999999999</v>
      </c>
      <c r="I127" s="290">
        <v>-906</v>
      </c>
      <c r="J127" s="290">
        <v>-6398</v>
      </c>
      <c r="K127" s="290">
        <v>-6700</v>
      </c>
      <c r="L127" s="188">
        <v>-4478</v>
      </c>
      <c r="M127" s="290">
        <v>-4954.95</v>
      </c>
      <c r="N127" s="188">
        <v>-3187.5</v>
      </c>
      <c r="O127" s="188">
        <v>-778</v>
      </c>
      <c r="P127" s="188">
        <v>-4730.79</v>
      </c>
      <c r="Q127" s="171">
        <v>-3998.66</v>
      </c>
      <c r="R127" s="153">
        <v>-3766.5</v>
      </c>
      <c r="S127" s="127">
        <v>-14526.5</v>
      </c>
    </row>
    <row r="128" spans="1:19" x14ac:dyDescent="0.25">
      <c r="A128" s="26"/>
      <c r="B128" s="6"/>
      <c r="C128" s="210"/>
      <c r="D128" s="210"/>
      <c r="E128" s="263"/>
      <c r="F128" s="255"/>
      <c r="G128" s="239"/>
      <c r="H128" s="290">
        <f>'2025'!E128</f>
        <v>0</v>
      </c>
      <c r="I128" s="290"/>
      <c r="J128" s="290"/>
      <c r="K128" s="290"/>
      <c r="L128" s="188"/>
      <c r="M128" s="290"/>
      <c r="N128" s="188"/>
      <c r="O128" s="188"/>
      <c r="P128" s="188"/>
      <c r="Q128" s="6"/>
      <c r="R128" s="153"/>
      <c r="S128" s="127"/>
    </row>
    <row r="129" spans="1:71" s="1" customFormat="1" ht="15.75" thickBot="1" x14ac:dyDescent="0.3">
      <c r="A129" s="27" t="str">
        <f>"S:a Övriga externa kostnader"</f>
        <v>S:a Övriga externa kostnader</v>
      </c>
      <c r="B129" s="14"/>
      <c r="C129" s="212">
        <f>SUM(C98:C127)</f>
        <v>-277490</v>
      </c>
      <c r="D129" s="212">
        <f>SUM(D98:D127)</f>
        <v>-317790</v>
      </c>
      <c r="E129" s="299">
        <f>SUM(E98:E127)</f>
        <v>-280630</v>
      </c>
      <c r="F129" s="255">
        <f t="shared" ref="F129" si="9">-(D129-E129)</f>
        <v>37160</v>
      </c>
      <c r="G129" s="240"/>
      <c r="H129" s="300">
        <f>'2025'!E129</f>
        <v>-694884.92</v>
      </c>
      <c r="I129" s="300">
        <f>SUM(I98:I127)</f>
        <v>-158260.68</v>
      </c>
      <c r="J129" s="300">
        <v>-166400.95000000001</v>
      </c>
      <c r="K129" s="300">
        <f t="shared" ref="K129" si="10">SUM(K101:K127)</f>
        <v>-118332.10999999999</v>
      </c>
      <c r="L129" s="189">
        <v>-171587.73000000004</v>
      </c>
      <c r="M129" s="292">
        <f>SUM(M101:M127)</f>
        <v>-164148.20000000001</v>
      </c>
      <c r="N129" s="189">
        <f t="shared" ref="N129:S129" si="11">SUM(N101:N127)</f>
        <v>-275091.28999999998</v>
      </c>
      <c r="O129" s="189">
        <f t="shared" si="11"/>
        <v>-281141.02</v>
      </c>
      <c r="P129" s="189">
        <f t="shared" si="11"/>
        <v>-74214.789999999994</v>
      </c>
      <c r="Q129" s="170">
        <f t="shared" si="11"/>
        <v>-120809.04000000001</v>
      </c>
      <c r="R129" s="109">
        <f t="shared" si="11"/>
        <v>-182207</v>
      </c>
      <c r="S129" s="119">
        <f t="shared" si="11"/>
        <v>-185684.5</v>
      </c>
    </row>
    <row r="130" spans="1:71" s="1" customFormat="1" ht="15.75" thickBot="1" x14ac:dyDescent="0.3">
      <c r="A130" s="80"/>
      <c r="B130" s="81"/>
      <c r="C130" s="206"/>
      <c r="D130" s="206"/>
      <c r="E130" s="269"/>
      <c r="F130" s="243"/>
      <c r="G130" s="243"/>
      <c r="H130" s="295">
        <f>'2025'!E130</f>
        <v>0</v>
      </c>
      <c r="I130" s="295"/>
      <c r="J130" s="295"/>
      <c r="K130" s="295"/>
      <c r="L130" s="197"/>
      <c r="M130" s="295"/>
      <c r="N130" s="197"/>
      <c r="O130" s="197"/>
      <c r="P130" s="197"/>
      <c r="Q130" s="172"/>
      <c r="R130" s="158"/>
      <c r="S130" s="130"/>
    </row>
    <row r="131" spans="1:71" x14ac:dyDescent="0.25">
      <c r="A131" s="19"/>
      <c r="B131" s="20"/>
      <c r="C131" s="205"/>
      <c r="D131" s="205"/>
      <c r="E131" s="266"/>
      <c r="F131" s="241"/>
      <c r="G131" s="241"/>
      <c r="H131" s="293">
        <f>'2025'!E131</f>
        <v>0</v>
      </c>
      <c r="I131" s="293"/>
      <c r="J131" s="293"/>
      <c r="K131" s="293"/>
      <c r="L131" s="190"/>
      <c r="M131" s="293"/>
      <c r="N131" s="190"/>
      <c r="O131" s="190"/>
      <c r="P131" s="190"/>
      <c r="Q131" s="168"/>
      <c r="R131" s="155"/>
      <c r="S131" s="131"/>
    </row>
    <row r="132" spans="1:71" x14ac:dyDescent="0.25">
      <c r="A132" s="22" t="str">
        <f>"Personalkostnader"</f>
        <v>Personalkostnader</v>
      </c>
      <c r="B132" s="6"/>
      <c r="C132" s="203"/>
      <c r="D132" s="203"/>
      <c r="E132" s="263"/>
      <c r="F132" s="239"/>
      <c r="G132" s="239"/>
      <c r="H132" s="290">
        <f>'2025'!E132</f>
        <v>0</v>
      </c>
      <c r="I132" s="290"/>
      <c r="J132" s="290"/>
      <c r="K132" s="290"/>
      <c r="L132" s="188"/>
      <c r="M132" s="290"/>
      <c r="N132" s="188"/>
      <c r="O132" s="188"/>
      <c r="P132" s="188"/>
      <c r="Q132" s="6"/>
      <c r="R132" s="153"/>
      <c r="S132" s="127"/>
    </row>
    <row r="133" spans="1:71" x14ac:dyDescent="0.25">
      <c r="A133" s="24" t="s">
        <v>193</v>
      </c>
      <c r="B133" s="6" t="s">
        <v>194</v>
      </c>
      <c r="C133" s="203"/>
      <c r="D133" s="203"/>
      <c r="E133" s="263">
        <v>0</v>
      </c>
      <c r="F133" s="239"/>
      <c r="G133" s="239"/>
      <c r="H133" s="290">
        <f>'2025'!E133</f>
        <v>0</v>
      </c>
      <c r="I133" s="290">
        <v>-16000</v>
      </c>
      <c r="J133" s="290"/>
      <c r="K133" s="290"/>
      <c r="L133" s="188"/>
      <c r="M133" s="290"/>
      <c r="N133" s="188"/>
      <c r="O133" s="188"/>
      <c r="P133" s="188"/>
      <c r="Q133" s="6"/>
      <c r="R133" s="153"/>
      <c r="S133" s="127"/>
    </row>
    <row r="134" spans="1:71" x14ac:dyDescent="0.25">
      <c r="A134" s="24" t="s">
        <v>57</v>
      </c>
      <c r="B134" s="5" t="s">
        <v>206</v>
      </c>
      <c r="C134" s="210">
        <v>-10000</v>
      </c>
      <c r="D134" s="210">
        <v>-10000</v>
      </c>
      <c r="E134" s="263">
        <v>-7458</v>
      </c>
      <c r="F134" s="255">
        <f>-(D134-E134)</f>
        <v>2542</v>
      </c>
      <c r="G134" s="239"/>
      <c r="H134" s="290">
        <f>'2025'!E134</f>
        <v>-10592.36</v>
      </c>
      <c r="I134" s="290">
        <v>-6774</v>
      </c>
      <c r="J134" s="290">
        <v>-1388.16</v>
      </c>
      <c r="K134" s="290"/>
      <c r="L134" s="188">
        <v>0</v>
      </c>
      <c r="M134" s="290">
        <v>0</v>
      </c>
      <c r="N134" s="188">
        <v>-1600</v>
      </c>
      <c r="O134" s="188">
        <v>-1500</v>
      </c>
      <c r="P134" s="188">
        <v>-4050</v>
      </c>
      <c r="Q134" s="171">
        <v>-600</v>
      </c>
      <c r="R134" s="153">
        <v>-900</v>
      </c>
      <c r="S134" s="127">
        <v>-2200</v>
      </c>
    </row>
    <row r="135" spans="1:71" x14ac:dyDescent="0.25">
      <c r="A135" s="24" t="s">
        <v>196</v>
      </c>
      <c r="B135" s="5" t="s">
        <v>197</v>
      </c>
      <c r="C135" s="210"/>
      <c r="D135" s="210"/>
      <c r="E135" s="263"/>
      <c r="F135" s="255"/>
      <c r="G135" s="239"/>
      <c r="H135" s="290">
        <f>'2025'!E135</f>
        <v>0</v>
      </c>
      <c r="I135" s="290">
        <v>-1600</v>
      </c>
      <c r="J135" s="290"/>
      <c r="K135" s="290"/>
      <c r="L135" s="188"/>
      <c r="M135" s="290"/>
      <c r="N135" s="188"/>
      <c r="O135" s="188"/>
      <c r="P135" s="188"/>
      <c r="Q135" s="171"/>
      <c r="R135" s="153"/>
      <c r="S135" s="127"/>
    </row>
    <row r="136" spans="1:71" x14ac:dyDescent="0.25">
      <c r="A136" s="24" t="str">
        <f>"7210"</f>
        <v>7210</v>
      </c>
      <c r="B136" s="5" t="str">
        <f>"Resekostnads ersättning"</f>
        <v>Resekostnads ersättning</v>
      </c>
      <c r="C136" s="210">
        <v>-3000</v>
      </c>
      <c r="D136" s="210">
        <v>-5000</v>
      </c>
      <c r="E136" s="263">
        <v>-2750</v>
      </c>
      <c r="F136" s="239">
        <f>-(D136-E136)</f>
        <v>2250</v>
      </c>
      <c r="G136" s="239"/>
      <c r="H136" s="290">
        <f>'2025'!E136</f>
        <v>-3785</v>
      </c>
      <c r="I136" s="290">
        <v>0</v>
      </c>
      <c r="J136" s="290">
        <v>-1880</v>
      </c>
      <c r="K136" s="290">
        <v>-2154</v>
      </c>
      <c r="L136" s="188">
        <v>-2154</v>
      </c>
      <c r="M136" s="290">
        <v>-1365</v>
      </c>
      <c r="N136" s="188">
        <v>-6146.89</v>
      </c>
      <c r="O136" s="188">
        <v>-2673</v>
      </c>
      <c r="P136" s="188">
        <v>-851</v>
      </c>
      <c r="Q136" s="171">
        <v>-610</v>
      </c>
      <c r="R136" s="153">
        <v>-6961</v>
      </c>
      <c r="S136" s="127">
        <v>-6040</v>
      </c>
    </row>
    <row r="137" spans="1:71" x14ac:dyDescent="0.25">
      <c r="A137" s="306">
        <v>7330</v>
      </c>
      <c r="B137" t="s">
        <v>202</v>
      </c>
      <c r="C137" s="210">
        <v>-1000</v>
      </c>
      <c r="D137" s="210"/>
      <c r="E137" s="263">
        <v>-1050</v>
      </c>
      <c r="F137" s="255">
        <f>-(D137-E137)</f>
        <v>-1050</v>
      </c>
      <c r="G137" s="239"/>
      <c r="H137" s="290">
        <f>'2025'!E137</f>
        <v>-7800</v>
      </c>
      <c r="I137" s="290">
        <v>-12300</v>
      </c>
      <c r="J137" s="290">
        <v>-4500</v>
      </c>
      <c r="K137" s="290">
        <v>-3000</v>
      </c>
      <c r="L137" s="188">
        <v>-16500</v>
      </c>
      <c r="M137" s="290">
        <v>-6703.5</v>
      </c>
      <c r="N137" s="188">
        <v>0</v>
      </c>
      <c r="O137" s="188">
        <v>-13629</v>
      </c>
      <c r="P137" s="188">
        <v>-7796</v>
      </c>
      <c r="Q137" s="171"/>
      <c r="R137" s="153">
        <v>-11671</v>
      </c>
      <c r="S137" s="127">
        <v>-18925</v>
      </c>
    </row>
    <row r="138" spans="1:71" x14ac:dyDescent="0.25">
      <c r="A138" s="24" t="str">
        <f>"7610"</f>
        <v>7610</v>
      </c>
      <c r="B138" s="5" t="str">
        <f>"Utbildning"</f>
        <v>Utbildning</v>
      </c>
      <c r="C138" s="210">
        <v>-15000</v>
      </c>
      <c r="D138" s="210">
        <v>-10000</v>
      </c>
      <c r="E138" s="263">
        <v>-13000</v>
      </c>
      <c r="F138" s="255"/>
      <c r="G138" s="239"/>
      <c r="H138" s="290">
        <f>'2025'!E138</f>
        <v>0</v>
      </c>
      <c r="I138" s="290"/>
      <c r="J138" s="290"/>
      <c r="K138" s="290"/>
      <c r="L138" s="188"/>
      <c r="M138" s="290"/>
      <c r="N138" s="188"/>
      <c r="O138" s="188"/>
      <c r="P138" s="188"/>
      <c r="Q138" s="6"/>
      <c r="R138" s="153"/>
      <c r="S138" s="127"/>
    </row>
    <row r="139" spans="1:71" s="1" customFormat="1" ht="15.75" thickBot="1" x14ac:dyDescent="0.3">
      <c r="A139" s="27" t="str">
        <f>"S:a Personalkostnader"</f>
        <v>S:a Personalkostnader</v>
      </c>
      <c r="B139" s="14"/>
      <c r="C139" s="212">
        <f>SUM(C134:C138)</f>
        <v>-29000</v>
      </c>
      <c r="D139" s="212">
        <f>SUM(D134:D138)</f>
        <v>-25000</v>
      </c>
      <c r="E139" s="265">
        <f>SUM(E134:E138)</f>
        <v>-24258</v>
      </c>
      <c r="F139" s="292">
        <f t="shared" ref="F139" si="12">-(D139-E139)</f>
        <v>742</v>
      </c>
      <c r="G139" s="240"/>
      <c r="H139" s="292">
        <f>'2025'!E139</f>
        <v>-22177.360000000001</v>
      </c>
      <c r="I139" s="292">
        <f>SUM(I134:I137)</f>
        <v>-20674</v>
      </c>
      <c r="J139" s="292">
        <v>-7768.16</v>
      </c>
      <c r="K139" s="292">
        <f>SUM(K134:K137)</f>
        <v>-5154</v>
      </c>
      <c r="L139" s="189">
        <v>-18654</v>
      </c>
      <c r="M139" s="292">
        <f>SUM(M134:M137)</f>
        <v>-8068.5</v>
      </c>
      <c r="N139" s="189">
        <f t="shared" ref="N139:S139" si="13">SUM(N134:N137)</f>
        <v>-7746.89</v>
      </c>
      <c r="O139" s="189">
        <f t="shared" si="13"/>
        <v>-17802</v>
      </c>
      <c r="P139" s="189">
        <f t="shared" si="13"/>
        <v>-12697</v>
      </c>
      <c r="Q139" s="170">
        <f t="shared" si="13"/>
        <v>-1210</v>
      </c>
      <c r="R139" s="154">
        <f t="shared" si="13"/>
        <v>-19532</v>
      </c>
      <c r="S139" s="119">
        <f t="shared" si="13"/>
        <v>-27165</v>
      </c>
    </row>
    <row r="140" spans="1:71" x14ac:dyDescent="0.25">
      <c r="A140" s="19"/>
      <c r="B140" s="20"/>
      <c r="C140" s="205"/>
      <c r="D140" s="205"/>
      <c r="E140" s="266"/>
      <c r="F140" s="241"/>
      <c r="G140" s="241"/>
      <c r="H140" s="293">
        <f>'2025'!E140</f>
        <v>0</v>
      </c>
      <c r="I140" s="293"/>
      <c r="J140" s="293"/>
      <c r="K140" s="293"/>
      <c r="L140" s="190"/>
      <c r="M140" s="293"/>
      <c r="N140" s="190"/>
      <c r="O140" s="190"/>
      <c r="P140" s="190"/>
      <c r="Q140" s="168"/>
      <c r="R140" s="155"/>
      <c r="S140" s="131"/>
    </row>
    <row r="141" spans="1:71" x14ac:dyDescent="0.25">
      <c r="A141" s="26"/>
      <c r="B141" s="6"/>
      <c r="C141" s="203"/>
      <c r="D141" s="203"/>
      <c r="E141" s="263"/>
      <c r="F141" s="239"/>
      <c r="G141" s="239"/>
      <c r="H141" s="290">
        <f>'2025'!E141</f>
        <v>0</v>
      </c>
      <c r="I141" s="290"/>
      <c r="J141" s="290"/>
      <c r="K141" s="290"/>
      <c r="L141" s="188"/>
      <c r="M141" s="290"/>
      <c r="N141" s="188"/>
      <c r="O141" s="188"/>
      <c r="P141" s="188"/>
      <c r="Q141" s="6"/>
      <c r="R141" s="153"/>
      <c r="S141" s="127"/>
    </row>
    <row r="142" spans="1:71" s="2" customFormat="1" ht="15.75" thickBot="1" x14ac:dyDescent="0.3">
      <c r="A142" s="32" t="str">
        <f>"S:a Rörelsens kostnader inkl råvaror mm"</f>
        <v>S:a Rörelsens kostnader inkl råvaror mm</v>
      </c>
      <c r="B142" s="33"/>
      <c r="C142" s="147">
        <f>SUM(C91+C129+C139)</f>
        <v>-735990</v>
      </c>
      <c r="D142" s="147">
        <f>SUM(D91+D129+D139)</f>
        <v>-699790</v>
      </c>
      <c r="E142" s="242">
        <f>E91+E129+E139</f>
        <v>-772868</v>
      </c>
      <c r="F142" s="242"/>
      <c r="G142" s="242"/>
      <c r="H142" s="163">
        <f>'2025'!E142</f>
        <v>-1304535.3600000001</v>
      </c>
      <c r="I142" s="163">
        <f>I91+I129+I139</f>
        <v>-892968.02</v>
      </c>
      <c r="J142" s="163">
        <v>-705580.09</v>
      </c>
      <c r="K142" s="163">
        <f>K91+K129+K139</f>
        <v>-415089.44</v>
      </c>
      <c r="L142" s="163">
        <v>-384799.69000000006</v>
      </c>
      <c r="M142" s="163">
        <f>M91+M129+M139</f>
        <v>-686874.89999999991</v>
      </c>
      <c r="N142" s="163">
        <f>N91+N129+N139</f>
        <v>-725624.53999999992</v>
      </c>
      <c r="O142" s="163">
        <f>O91+O129+O139</f>
        <v>-607615.47</v>
      </c>
      <c r="P142" s="163">
        <f>P91+P129+P139</f>
        <v>-437772.44</v>
      </c>
      <c r="Q142" s="149">
        <f>Q91+Q139+Q129</f>
        <v>-408752.87</v>
      </c>
      <c r="R142" s="110">
        <f>R91+R139+R129</f>
        <v>-487742.48</v>
      </c>
      <c r="S142" s="111">
        <f>S91+S129+S139</f>
        <v>-471937.5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s="2" customFormat="1" x14ac:dyDescent="0.25">
      <c r="A143" s="51"/>
      <c r="B143" s="17"/>
      <c r="C143" s="207"/>
      <c r="D143" s="207"/>
      <c r="E143" s="270"/>
      <c r="F143" s="244"/>
      <c r="G143" s="244"/>
      <c r="H143" s="296">
        <f>'2025'!E143</f>
        <v>0</v>
      </c>
      <c r="I143" s="296"/>
      <c r="J143" s="296"/>
      <c r="K143" s="296"/>
      <c r="L143" s="191"/>
      <c r="M143" s="296"/>
      <c r="N143" s="191"/>
      <c r="O143" s="191"/>
      <c r="P143" s="191"/>
      <c r="Q143" s="81"/>
      <c r="R143" s="156"/>
      <c r="S143" s="13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s="2" customFormat="1" x14ac:dyDescent="0.25">
      <c r="A144" s="51" t="s">
        <v>59</v>
      </c>
      <c r="B144" s="17" t="s">
        <v>60</v>
      </c>
      <c r="C144" s="208">
        <v>1000</v>
      </c>
      <c r="D144" s="208">
        <v>5500</v>
      </c>
      <c r="E144" s="271">
        <v>874</v>
      </c>
      <c r="F144" s="245"/>
      <c r="G144" s="245"/>
      <c r="H144" s="297">
        <f>'2025'!E144</f>
        <v>5537.86</v>
      </c>
      <c r="I144" s="297">
        <v>5247.04</v>
      </c>
      <c r="J144" s="297">
        <v>552.54999999999995</v>
      </c>
      <c r="K144" s="297"/>
      <c r="L144" s="198"/>
      <c r="M144" s="297"/>
      <c r="N144" s="198"/>
      <c r="O144" s="198"/>
      <c r="P144" s="198"/>
      <c r="Q144" s="17">
        <v>118.94</v>
      </c>
      <c r="R144" s="157">
        <v>7419</v>
      </c>
      <c r="S144" s="132">
        <v>708</v>
      </c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x14ac:dyDescent="0.25">
      <c r="A145" s="26"/>
      <c r="B145" s="6"/>
      <c r="C145" s="203"/>
      <c r="D145" s="203"/>
      <c r="E145" s="263"/>
      <c r="F145" s="239"/>
      <c r="G145" s="239"/>
      <c r="H145" s="290">
        <f>'2025'!E145</f>
        <v>0</v>
      </c>
      <c r="I145" s="290"/>
      <c r="J145" s="290"/>
      <c r="K145" s="290"/>
      <c r="L145" s="188"/>
      <c r="M145" s="290"/>
      <c r="N145" s="188"/>
      <c r="O145" s="188"/>
      <c r="P145" s="188"/>
      <c r="Q145" s="6"/>
      <c r="R145" s="153"/>
      <c r="S145" s="127"/>
    </row>
    <row r="146" spans="1:71" s="3" customFormat="1" x14ac:dyDescent="0.25">
      <c r="A146" s="113" t="str">
        <f>"Beräknat resultat"</f>
        <v>Beräknat resultat</v>
      </c>
      <c r="B146" s="114"/>
      <c r="C146" s="150">
        <f>C59+C142+C144</f>
        <v>2260</v>
      </c>
      <c r="D146" s="150">
        <f>D59+D142+D144</f>
        <v>44210</v>
      </c>
      <c r="E146" s="150">
        <f>E59+E142+E144</f>
        <v>112411</v>
      </c>
      <c r="F146" s="164">
        <f>-(D146-E146)</f>
        <v>68201</v>
      </c>
      <c r="G146" s="246"/>
      <c r="H146" s="164">
        <f>'2025'!E146</f>
        <v>-24200.300000000148</v>
      </c>
      <c r="I146" s="164">
        <f>I59+I142+I144</f>
        <v>30650.29</v>
      </c>
      <c r="J146" s="164">
        <v>-55164.2</v>
      </c>
      <c r="K146" s="164">
        <f>K59+K142+K144</f>
        <v>127696.61000000004</v>
      </c>
      <c r="L146" s="164">
        <v>135543.5799999999</v>
      </c>
      <c r="M146" s="164">
        <f>M59+M142+M144</f>
        <v>16136.70000000007</v>
      </c>
      <c r="N146" s="164">
        <f t="shared" ref="N146:S146" si="14">N59+N142+N144</f>
        <v>-200525.78999999992</v>
      </c>
      <c r="O146" s="164">
        <f t="shared" si="14"/>
        <v>-30377.719999999972</v>
      </c>
      <c r="P146" s="164">
        <f t="shared" si="14"/>
        <v>37955.56</v>
      </c>
      <c r="Q146" s="150">
        <f t="shared" si="14"/>
        <v>25598.40000000002</v>
      </c>
      <c r="R146" s="115">
        <f t="shared" si="14"/>
        <v>72132.520000000019</v>
      </c>
      <c r="S146" s="116">
        <f t="shared" si="14"/>
        <v>-59346</v>
      </c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5.75" thickBot="1" x14ac:dyDescent="0.3">
      <c r="A147" s="37"/>
      <c r="B147" s="15"/>
      <c r="C147" s="15"/>
      <c r="D147" s="15"/>
      <c r="E147" s="15"/>
      <c r="F147" s="247"/>
      <c r="G147" s="24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09"/>
      <c r="S147" s="15"/>
    </row>
    <row r="148" spans="1:71" x14ac:dyDescent="0.25">
      <c r="E148"/>
    </row>
    <row r="149" spans="1:71" x14ac:dyDescent="0.25">
      <c r="E149"/>
    </row>
    <row r="150" spans="1:71" x14ac:dyDescent="0.25">
      <c r="E150"/>
    </row>
    <row r="151" spans="1:71" x14ac:dyDescent="0.25">
      <c r="E151"/>
    </row>
    <row r="152" spans="1:71" x14ac:dyDescent="0.25">
      <c r="E152"/>
    </row>
    <row r="153" spans="1:71" x14ac:dyDescent="0.25">
      <c r="E153"/>
    </row>
    <row r="154" spans="1:71" x14ac:dyDescent="0.25">
      <c r="E154"/>
    </row>
    <row r="155" spans="1:71" x14ac:dyDescent="0.25">
      <c r="E155"/>
    </row>
    <row r="156" spans="1:71" x14ac:dyDescent="0.25">
      <c r="E156"/>
    </row>
    <row r="157" spans="1:71" x14ac:dyDescent="0.25">
      <c r="E157"/>
    </row>
    <row r="158" spans="1:71" x14ac:dyDescent="0.25">
      <c r="E158"/>
    </row>
    <row r="159" spans="1:71" x14ac:dyDescent="0.25">
      <c r="E159"/>
    </row>
    <row r="160" spans="1:71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7"/>
  <sheetViews>
    <sheetView topLeftCell="A25" workbookViewId="0">
      <selection activeCell="G44" sqref="G44"/>
    </sheetView>
  </sheetViews>
  <sheetFormatPr defaultRowHeight="15" x14ac:dyDescent="0.25"/>
  <cols>
    <col min="1" max="1" width="16.140625" customWidth="1"/>
    <col min="2" max="2" width="22.140625" customWidth="1"/>
    <col min="3" max="3" width="31.140625" customWidth="1"/>
    <col min="4" max="4" width="24.28515625" customWidth="1"/>
  </cols>
  <sheetData>
    <row r="1" spans="1:4" ht="126" customHeight="1" x14ac:dyDescent="0.25"/>
    <row r="3" spans="1:4" ht="18.75" x14ac:dyDescent="0.3">
      <c r="B3" s="308" t="s">
        <v>203</v>
      </c>
      <c r="C3" s="308"/>
      <c r="D3" s="308"/>
    </row>
    <row r="4" spans="1:4" ht="18.75" x14ac:dyDescent="0.3">
      <c r="B4" s="309" t="s">
        <v>204</v>
      </c>
      <c r="C4" s="309"/>
      <c r="D4" s="309"/>
    </row>
    <row r="6" spans="1:4" x14ac:dyDescent="0.25">
      <c r="A6" s="193"/>
      <c r="B6" s="22" t="str">
        <f>"Rörelsens intäkter och lagerförändring"</f>
        <v>Rörelsens intäkter och lagerförändring</v>
      </c>
      <c r="C6" s="6"/>
      <c r="D6" s="203"/>
    </row>
    <row r="7" spans="1:4" x14ac:dyDescent="0.25">
      <c r="A7" s="193"/>
      <c r="B7" s="22" t="str">
        <f>"Nettoomsättning"</f>
        <v>Nettoomsättning</v>
      </c>
      <c r="C7" s="6"/>
      <c r="D7" s="203"/>
    </row>
    <row r="8" spans="1:4" x14ac:dyDescent="0.25">
      <c r="A8" s="193"/>
      <c r="B8" s="186" t="str">
        <f>"3110"</f>
        <v>3110</v>
      </c>
      <c r="C8" s="5" t="str">
        <f>"Medlemsavgifter"</f>
        <v>Medlemsavgifter</v>
      </c>
      <c r="D8" s="210">
        <v>27000</v>
      </c>
    </row>
    <row r="9" spans="1:4" x14ac:dyDescent="0.25">
      <c r="A9" s="193"/>
      <c r="B9" s="186" t="s">
        <v>155</v>
      </c>
      <c r="C9" s="5" t="s">
        <v>156</v>
      </c>
      <c r="D9" s="210">
        <v>55000</v>
      </c>
    </row>
    <row r="10" spans="1:4" x14ac:dyDescent="0.25">
      <c r="A10" s="193"/>
      <c r="B10" s="186" t="str">
        <f>"3120"</f>
        <v>3120</v>
      </c>
      <c r="C10" s="5" t="str">
        <f>"Intäkter kanothyra"</f>
        <v>Intäkter kanothyra</v>
      </c>
      <c r="D10" s="210">
        <v>14000</v>
      </c>
    </row>
    <row r="11" spans="1:4" x14ac:dyDescent="0.25">
      <c r="A11" s="193"/>
      <c r="B11" s="186" t="str">
        <f>"3130"</f>
        <v>3130</v>
      </c>
      <c r="C11" s="5" t="str">
        <f>"Intäkter kanotplats"</f>
        <v>Intäkter kanotplats</v>
      </c>
      <c r="D11" s="210">
        <v>25000</v>
      </c>
    </row>
    <row r="12" spans="1:4" x14ac:dyDescent="0.25">
      <c r="A12" s="193"/>
      <c r="B12" s="186" t="str">
        <f>"3140"</f>
        <v>3140</v>
      </c>
      <c r="C12" s="5" t="s">
        <v>171</v>
      </c>
      <c r="D12" s="210">
        <v>45000</v>
      </c>
    </row>
    <row r="13" spans="1:4" x14ac:dyDescent="0.25">
      <c r="A13" s="193"/>
      <c r="B13" s="186" t="str">
        <f>"3142"</f>
        <v>3142</v>
      </c>
      <c r="C13" s="5" t="str">
        <f>"Prova-på-paddling"</f>
        <v>Prova-på-paddling</v>
      </c>
      <c r="D13" s="210">
        <v>5000</v>
      </c>
    </row>
    <row r="14" spans="1:4" x14ac:dyDescent="0.25">
      <c r="A14" s="193"/>
      <c r="B14" s="186" t="s">
        <v>6</v>
      </c>
      <c r="C14" s="5" t="s">
        <v>7</v>
      </c>
      <c r="D14" s="210">
        <v>30000</v>
      </c>
    </row>
    <row r="15" spans="1:4" x14ac:dyDescent="0.25">
      <c r="A15" s="193"/>
      <c r="B15" s="186" t="str">
        <f>"3211"</f>
        <v>3211</v>
      </c>
      <c r="C15" s="5" t="str">
        <f>"Anmälningsavgifter"</f>
        <v>Anmälningsavgifter</v>
      </c>
      <c r="D15" s="210">
        <v>30000</v>
      </c>
    </row>
    <row r="16" spans="1:4" x14ac:dyDescent="0.25">
      <c r="A16" s="193"/>
      <c r="B16" s="186" t="str">
        <f>"3212"</f>
        <v>3212</v>
      </c>
      <c r="C16" s="5" t="str">
        <f>"Transportavgift"</f>
        <v>Transportavgift</v>
      </c>
      <c r="D16" s="210"/>
    </row>
    <row r="17" spans="1:4" x14ac:dyDescent="0.25">
      <c r="A17" s="193"/>
      <c r="B17" s="186" t="str">
        <f>"3213"</f>
        <v>3213</v>
      </c>
      <c r="C17" s="5" t="str">
        <f>"Kost och logi under tävlingar"</f>
        <v>Kost och logi under tävlingar</v>
      </c>
      <c r="D17" s="210">
        <v>40000</v>
      </c>
    </row>
    <row r="18" spans="1:4" x14ac:dyDescent="0.25">
      <c r="A18" s="193"/>
      <c r="B18" s="186" t="s">
        <v>172</v>
      </c>
      <c r="C18" s="5" t="s">
        <v>173</v>
      </c>
      <c r="D18" s="210">
        <v>0</v>
      </c>
    </row>
    <row r="19" spans="1:4" x14ac:dyDescent="0.25">
      <c r="B19" s="186" t="str">
        <f>"3221"</f>
        <v>3221</v>
      </c>
      <c r="C19" s="5" t="s">
        <v>122</v>
      </c>
      <c r="D19" s="210">
        <v>25000</v>
      </c>
    </row>
    <row r="20" spans="1:4" x14ac:dyDescent="0.25">
      <c r="B20" s="186" t="s">
        <v>11</v>
      </c>
      <c r="C20" s="5" t="s">
        <v>123</v>
      </c>
      <c r="D20" s="210"/>
    </row>
    <row r="21" spans="1:4" x14ac:dyDescent="0.25">
      <c r="A21" s="193"/>
      <c r="B21" s="186" t="str">
        <f>"3223"</f>
        <v>3223</v>
      </c>
      <c r="C21" s="5" t="str">
        <f>"Intäkter SM läger"</f>
        <v>Intäkter SM läger</v>
      </c>
      <c r="D21" s="210">
        <v>25000</v>
      </c>
    </row>
    <row r="22" spans="1:4" x14ac:dyDescent="0.25">
      <c r="A22" s="193"/>
      <c r="B22" s="186" t="s">
        <v>13</v>
      </c>
      <c r="C22" s="5" t="s">
        <v>157</v>
      </c>
      <c r="D22" s="210">
        <v>0</v>
      </c>
    </row>
    <row r="23" spans="1:4" x14ac:dyDescent="0.25">
      <c r="A23" s="193"/>
      <c r="B23" s="186" t="s">
        <v>130</v>
      </c>
      <c r="C23" s="5" t="s">
        <v>131</v>
      </c>
      <c r="D23" s="210">
        <v>0</v>
      </c>
    </row>
    <row r="24" spans="1:4" x14ac:dyDescent="0.25">
      <c r="A24" s="193"/>
      <c r="B24" s="186" t="s">
        <v>158</v>
      </c>
      <c r="C24" s="5" t="s">
        <v>159</v>
      </c>
      <c r="D24" s="210">
        <v>30000</v>
      </c>
    </row>
    <row r="25" spans="1:4" x14ac:dyDescent="0.25">
      <c r="A25" s="193"/>
      <c r="B25" s="186" t="str">
        <f>"3310"</f>
        <v>3310</v>
      </c>
      <c r="C25" s="5" t="s">
        <v>160</v>
      </c>
      <c r="D25" s="210">
        <v>3000</v>
      </c>
    </row>
    <row r="26" spans="1:4" x14ac:dyDescent="0.25">
      <c r="A26" s="193"/>
      <c r="B26" s="186" t="s">
        <v>15</v>
      </c>
      <c r="C26" s="5" t="s">
        <v>16</v>
      </c>
      <c r="D26" s="210"/>
    </row>
    <row r="27" spans="1:4" x14ac:dyDescent="0.25">
      <c r="A27" s="193"/>
      <c r="B27" s="186" t="str">
        <f>"3420"</f>
        <v>3420</v>
      </c>
      <c r="C27" s="5" t="str">
        <f>"Intäkter Sponsorer"</f>
        <v>Intäkter Sponsorer</v>
      </c>
      <c r="D27" s="210">
        <v>45000</v>
      </c>
    </row>
    <row r="28" spans="1:4" x14ac:dyDescent="0.25">
      <c r="A28" s="193"/>
      <c r="B28" s="186" t="str">
        <f>"3421"</f>
        <v>3421</v>
      </c>
      <c r="C28" s="5" t="s">
        <v>161</v>
      </c>
      <c r="D28" s="210">
        <v>30000</v>
      </c>
    </row>
    <row r="29" spans="1:4" x14ac:dyDescent="0.25">
      <c r="A29" s="193"/>
      <c r="B29" s="186" t="s">
        <v>18</v>
      </c>
      <c r="C29" s="5" t="s">
        <v>19</v>
      </c>
      <c r="D29" s="210">
        <v>0</v>
      </c>
    </row>
    <row r="30" spans="1:4" x14ac:dyDescent="0.25">
      <c r="A30" s="193"/>
      <c r="B30" s="186" t="str">
        <f>"3430"</f>
        <v>3430</v>
      </c>
      <c r="C30" s="5" t="str">
        <f>"Intäkter föräldrarföreningen"</f>
        <v>Intäkter föräldrarföreningen</v>
      </c>
      <c r="D30" s="210">
        <v>0</v>
      </c>
    </row>
    <row r="31" spans="1:4" x14ac:dyDescent="0.25">
      <c r="A31" s="193"/>
      <c r="B31" s="186" t="str">
        <f>"3520"</f>
        <v>3520</v>
      </c>
      <c r="C31" s="5" t="str">
        <f>"Intäkter Kanotförsäkring"</f>
        <v>Intäkter Kanotförsäkring</v>
      </c>
      <c r="D31" s="210"/>
    </row>
    <row r="32" spans="1:4" x14ac:dyDescent="0.25">
      <c r="A32" s="193"/>
      <c r="B32" s="186" t="s">
        <v>95</v>
      </c>
      <c r="C32" s="5" t="s">
        <v>150</v>
      </c>
      <c r="D32" s="210">
        <v>35000</v>
      </c>
    </row>
    <row r="33" spans="1:4" x14ac:dyDescent="0.25">
      <c r="A33" s="193"/>
      <c r="B33" s="186" t="s">
        <v>133</v>
      </c>
      <c r="C33" s="5" t="s">
        <v>134</v>
      </c>
      <c r="D33" s="210"/>
    </row>
    <row r="34" spans="1:4" x14ac:dyDescent="0.25">
      <c r="A34" s="193"/>
      <c r="B34" s="186" t="s">
        <v>20</v>
      </c>
      <c r="C34" s="5" t="s">
        <v>21</v>
      </c>
      <c r="D34" s="210"/>
    </row>
    <row r="35" spans="1:4" x14ac:dyDescent="0.25">
      <c r="B35" s="186" t="str">
        <f>"3710"</f>
        <v>3710</v>
      </c>
      <c r="C35" s="5" t="str">
        <f>"Kommunala bidrag"</f>
        <v>Kommunala bidrag</v>
      </c>
      <c r="D35" s="210">
        <v>85000</v>
      </c>
    </row>
    <row r="36" spans="1:4" x14ac:dyDescent="0.25">
      <c r="B36" s="186" t="s">
        <v>162</v>
      </c>
      <c r="C36" s="5" t="s">
        <v>163</v>
      </c>
      <c r="D36" s="210">
        <v>20000</v>
      </c>
    </row>
    <row r="37" spans="1:4" x14ac:dyDescent="0.25">
      <c r="B37" s="186" t="str">
        <f>"3730"</f>
        <v>3730</v>
      </c>
      <c r="C37" s="5" t="str">
        <f>"LOK-stöd Riksidrottsförbundet"</f>
        <v>LOK-stöd Riksidrottsförbundet</v>
      </c>
      <c r="D37" s="210">
        <v>60000</v>
      </c>
    </row>
    <row r="38" spans="1:4" x14ac:dyDescent="0.25">
      <c r="B38" s="186" t="s">
        <v>135</v>
      </c>
      <c r="C38" s="5" t="s">
        <v>136</v>
      </c>
      <c r="D38" s="210">
        <v>0</v>
      </c>
    </row>
    <row r="39" spans="1:4" x14ac:dyDescent="0.25">
      <c r="B39" s="186" t="str">
        <f>"3790"</f>
        <v>3790</v>
      </c>
      <c r="C39" s="5" t="s">
        <v>182</v>
      </c>
      <c r="D39" s="210">
        <v>5000</v>
      </c>
    </row>
    <row r="40" spans="1:4" x14ac:dyDescent="0.25">
      <c r="B40" s="26"/>
      <c r="C40" s="6"/>
      <c r="D40" s="210"/>
    </row>
    <row r="41" spans="1:4" ht="15.75" thickBot="1" x14ac:dyDescent="0.3">
      <c r="B41" s="27" t="str">
        <f>"S:a Nettoomsättning"</f>
        <v>S:a Nettoomsättning</v>
      </c>
      <c r="C41" s="14"/>
      <c r="D41" s="209">
        <f>SUM(D8:D39)</f>
        <v>634000</v>
      </c>
    </row>
    <row r="42" spans="1:4" x14ac:dyDescent="0.25">
      <c r="B42" s="19"/>
      <c r="C42" s="20"/>
      <c r="D42" s="205"/>
    </row>
    <row r="43" spans="1:4" x14ac:dyDescent="0.25">
      <c r="B43" s="303" t="str">
        <f>"S:a Rörelseintäkter och lagerförändring"</f>
        <v>S:a Rörelseintäkter och lagerförändring</v>
      </c>
      <c r="C43" s="11"/>
      <c r="D43" s="304">
        <f>D41</f>
        <v>634000</v>
      </c>
    </row>
    <row r="44" spans="1:4" ht="129.75" customHeight="1" thickBot="1" x14ac:dyDescent="0.3">
      <c r="B44" s="302"/>
      <c r="C44" s="302"/>
      <c r="D44" s="302"/>
    </row>
    <row r="45" spans="1:4" x14ac:dyDescent="0.25">
      <c r="B45" s="301" t="str">
        <f>"Rörelsens kostnader"</f>
        <v>Rörelsens kostnader</v>
      </c>
      <c r="C45" s="168"/>
      <c r="D45" s="205"/>
    </row>
    <row r="46" spans="1:4" x14ac:dyDescent="0.25">
      <c r="B46" s="22" t="str">
        <f>"Råvaror och förnödenheter mm"</f>
        <v>Råvaror och förnödenheter mm</v>
      </c>
      <c r="C46" s="6"/>
      <c r="D46" s="203"/>
    </row>
    <row r="47" spans="1:4" x14ac:dyDescent="0.25">
      <c r="B47" s="24" t="s">
        <v>139</v>
      </c>
      <c r="C47" s="5" t="s">
        <v>140</v>
      </c>
      <c r="D47" s="210">
        <v>0</v>
      </c>
    </row>
    <row r="48" spans="1:4" x14ac:dyDescent="0.25">
      <c r="B48" s="24" t="str">
        <f>"4011"</f>
        <v>4011</v>
      </c>
      <c r="C48" s="5" t="str">
        <f>"Anmälningsavgifter"</f>
        <v>Anmälningsavgifter</v>
      </c>
      <c r="D48" s="210">
        <v>-70000</v>
      </c>
    </row>
    <row r="49" spans="2:4" x14ac:dyDescent="0.25">
      <c r="B49" s="24" t="str">
        <f>"4012"</f>
        <v>4012</v>
      </c>
      <c r="C49" s="5" t="str">
        <f>"transportkostnader"</f>
        <v>transportkostnader</v>
      </c>
      <c r="D49" s="210">
        <v>-10000</v>
      </c>
    </row>
    <row r="50" spans="2:4" x14ac:dyDescent="0.25">
      <c r="B50" s="24" t="str">
        <f>"4013"</f>
        <v>4013</v>
      </c>
      <c r="C50" s="5" t="str">
        <f>"Kost och logi under tävlingar"</f>
        <v>Kost och logi under tävlingar</v>
      </c>
      <c r="D50" s="210">
        <v>-40000</v>
      </c>
    </row>
    <row r="51" spans="2:4" x14ac:dyDescent="0.25">
      <c r="B51" s="24" t="str">
        <f>"4014"</f>
        <v>4014</v>
      </c>
      <c r="C51" s="5" t="str">
        <f>"Övriga tävlingskostnader"</f>
        <v>Övriga tävlingskostnader</v>
      </c>
      <c r="D51" s="210">
        <v>-2000</v>
      </c>
    </row>
    <row r="52" spans="2:4" x14ac:dyDescent="0.25">
      <c r="B52" s="24" t="str">
        <f>"4020"</f>
        <v>4020</v>
      </c>
      <c r="C52" s="5" t="s">
        <v>175</v>
      </c>
      <c r="D52" s="210">
        <v>-6000</v>
      </c>
    </row>
    <row r="53" spans="2:4" x14ac:dyDescent="0.25">
      <c r="B53" s="24" t="str">
        <f>"4021"</f>
        <v>4021</v>
      </c>
      <c r="C53" s="5" t="str">
        <f>"Anmälningsavgifter, Läger"</f>
        <v>Anmälningsavgifter, Läger</v>
      </c>
      <c r="D53" s="210">
        <v>-10000</v>
      </c>
    </row>
    <row r="54" spans="2:4" x14ac:dyDescent="0.25">
      <c r="B54" s="24" t="str">
        <f>"4022"</f>
        <v>4022</v>
      </c>
      <c r="C54" s="5" t="str">
        <f>"Transportkostnader, Läger"</f>
        <v>Transportkostnader, Läger</v>
      </c>
      <c r="D54" s="210">
        <v>0</v>
      </c>
    </row>
    <row r="55" spans="2:4" x14ac:dyDescent="0.25">
      <c r="B55" s="24" t="s">
        <v>30</v>
      </c>
      <c r="C55" s="5" t="s">
        <v>125</v>
      </c>
      <c r="D55" s="210">
        <v>0</v>
      </c>
    </row>
    <row r="56" spans="2:4" x14ac:dyDescent="0.25">
      <c r="B56" s="24" t="str">
        <f>"4024"</f>
        <v>4024</v>
      </c>
      <c r="C56" s="5" t="str">
        <f>"SM läger"</f>
        <v>SM läger</v>
      </c>
      <c r="D56" s="210">
        <v>-60000</v>
      </c>
    </row>
    <row r="57" spans="2:4" x14ac:dyDescent="0.25">
      <c r="B57" s="24" t="s">
        <v>153</v>
      </c>
      <c r="C57" s="5" t="s">
        <v>154</v>
      </c>
      <c r="D57" s="210">
        <v>-10000</v>
      </c>
    </row>
    <row r="58" spans="2:4" x14ac:dyDescent="0.25">
      <c r="B58" s="24" t="s">
        <v>32</v>
      </c>
      <c r="C58" s="5" t="s">
        <v>164</v>
      </c>
      <c r="D58" s="210">
        <v>-80000</v>
      </c>
    </row>
    <row r="59" spans="2:4" x14ac:dyDescent="0.25">
      <c r="B59" s="24" t="s">
        <v>165</v>
      </c>
      <c r="C59" s="5" t="s">
        <v>166</v>
      </c>
      <c r="D59" s="210">
        <v>-20000</v>
      </c>
    </row>
    <row r="60" spans="2:4" x14ac:dyDescent="0.25">
      <c r="B60" s="24" t="str">
        <f>"4110"</f>
        <v>4110</v>
      </c>
      <c r="C60" s="5" t="str">
        <f>"Kostnader Kanotskolan"</f>
        <v>Kostnader Kanotskolan</v>
      </c>
      <c r="D60" s="210">
        <v>-10000</v>
      </c>
    </row>
    <row r="61" spans="2:4" x14ac:dyDescent="0.25">
      <c r="B61" s="24" t="s">
        <v>34</v>
      </c>
      <c r="C61" s="5" t="s">
        <v>141</v>
      </c>
      <c r="D61" s="210">
        <v>-5000</v>
      </c>
    </row>
    <row r="62" spans="2:4" x14ac:dyDescent="0.25">
      <c r="B62" s="24" t="str">
        <f>"4120"</f>
        <v>4120</v>
      </c>
      <c r="C62" s="5" t="str">
        <f>"Kostnad ungdomsverksamhet"</f>
        <v>Kostnad ungdomsverksamhet</v>
      </c>
      <c r="D62" s="210">
        <v>-10000</v>
      </c>
    </row>
    <row r="63" spans="2:4" x14ac:dyDescent="0.25">
      <c r="B63" s="24" t="s">
        <v>142</v>
      </c>
      <c r="C63" s="5" t="s">
        <v>37</v>
      </c>
      <c r="D63" s="210">
        <v>-5000</v>
      </c>
    </row>
    <row r="64" spans="2:4" x14ac:dyDescent="0.25">
      <c r="B64" s="24" t="s">
        <v>143</v>
      </c>
      <c r="C64" s="5" t="s">
        <v>144</v>
      </c>
      <c r="D64" s="210">
        <v>0</v>
      </c>
    </row>
    <row r="65" spans="2:4" x14ac:dyDescent="0.25">
      <c r="B65" s="24" t="s">
        <v>167</v>
      </c>
      <c r="C65" s="5" t="s">
        <v>168</v>
      </c>
      <c r="D65" s="210">
        <v>-40000</v>
      </c>
    </row>
    <row r="66" spans="2:4" x14ac:dyDescent="0.25">
      <c r="B66" s="24" t="s">
        <v>145</v>
      </c>
      <c r="C66" s="5" t="s">
        <v>146</v>
      </c>
      <c r="D66" s="210">
        <v>-5000</v>
      </c>
    </row>
    <row r="67" spans="2:4" x14ac:dyDescent="0.25">
      <c r="B67" s="24" t="str">
        <f>"4220"</f>
        <v>4220</v>
      </c>
      <c r="C67" s="5" t="s">
        <v>38</v>
      </c>
      <c r="D67" s="210">
        <v>-45000</v>
      </c>
    </row>
    <row r="68" spans="2:4" x14ac:dyDescent="0.25">
      <c r="B68" s="24" t="s">
        <v>39</v>
      </c>
      <c r="C68" s="5" t="s">
        <v>40</v>
      </c>
      <c r="D68" s="210"/>
    </row>
    <row r="69" spans="2:4" x14ac:dyDescent="0.25">
      <c r="B69" s="24" t="s">
        <v>41</v>
      </c>
      <c r="C69" s="5" t="s">
        <v>42</v>
      </c>
      <c r="D69" s="210"/>
    </row>
    <row r="70" spans="2:4" x14ac:dyDescent="0.25">
      <c r="B70" s="24" t="str">
        <f>"4610"</f>
        <v>4610</v>
      </c>
      <c r="C70" s="5" t="str">
        <f>"Mötesverksamhet"</f>
        <v>Mötesverksamhet</v>
      </c>
      <c r="D70" s="210">
        <v>-2000</v>
      </c>
    </row>
    <row r="71" spans="2:4" x14ac:dyDescent="0.25">
      <c r="B71" s="24" t="s">
        <v>43</v>
      </c>
      <c r="C71" s="5" t="s">
        <v>44</v>
      </c>
      <c r="D71" s="210"/>
    </row>
    <row r="72" spans="2:4" x14ac:dyDescent="0.25">
      <c r="B72" s="24" t="str">
        <f>"4710"</f>
        <v>4710</v>
      </c>
      <c r="C72" s="5" t="str">
        <f>"Märken och priser"</f>
        <v>Märken och priser</v>
      </c>
      <c r="D72" s="210">
        <v>0</v>
      </c>
    </row>
    <row r="73" spans="2:4" x14ac:dyDescent="0.25">
      <c r="B73" s="24" t="str">
        <f>"4800"</f>
        <v>4800</v>
      </c>
      <c r="C73" s="5" t="str">
        <f>"Medlemmarnas pengar"</f>
        <v>Medlemmarnas pengar</v>
      </c>
      <c r="D73" s="210"/>
    </row>
    <row r="74" spans="2:4" x14ac:dyDescent="0.25">
      <c r="B74" s="26"/>
      <c r="C74" s="6"/>
      <c r="D74" s="210"/>
    </row>
    <row r="75" spans="2:4" ht="15.75" thickBot="1" x14ac:dyDescent="0.3">
      <c r="B75" s="27" t="str">
        <f>"S:a Råvaror och förnödenheter mm"</f>
        <v>S:a Råvaror och förnödenheter mm</v>
      </c>
      <c r="C75" s="14"/>
      <c r="D75" s="212">
        <f>SUM(D48:D73)</f>
        <v>-430000</v>
      </c>
    </row>
    <row r="76" spans="2:4" x14ac:dyDescent="0.25">
      <c r="B76" s="19"/>
      <c r="C76" s="20"/>
      <c r="D76" s="205"/>
    </row>
    <row r="77" spans="2:4" x14ac:dyDescent="0.25">
      <c r="B77" s="26"/>
      <c r="C77" s="6"/>
      <c r="D77" s="203"/>
    </row>
    <row r="78" spans="2:4" ht="15.75" thickBot="1" x14ac:dyDescent="0.3">
      <c r="B78" s="27" t="str">
        <f>"Bruttovinst"</f>
        <v>Bruttovinst</v>
      </c>
      <c r="C78" s="14"/>
      <c r="D78" s="212">
        <f>D43+D75</f>
        <v>204000</v>
      </c>
    </row>
    <row r="79" spans="2:4" x14ac:dyDescent="0.25">
      <c r="B79" s="19"/>
      <c r="C79" s="20"/>
      <c r="D79" s="205"/>
    </row>
    <row r="80" spans="2:4" x14ac:dyDescent="0.25">
      <c r="B80" s="22" t="str">
        <f>"Övriga externa kostnader"</f>
        <v>Övriga externa kostnader</v>
      </c>
      <c r="C80" s="6"/>
      <c r="D80" s="203"/>
    </row>
    <row r="81" spans="2:4" x14ac:dyDescent="0.25">
      <c r="B81" s="22"/>
      <c r="C81" s="192"/>
      <c r="D81" s="249"/>
    </row>
    <row r="82" spans="2:4" x14ac:dyDescent="0.25">
      <c r="B82" s="24" t="s">
        <v>176</v>
      </c>
      <c r="C82" s="5" t="s">
        <v>177</v>
      </c>
      <c r="D82" s="210">
        <v>-3000</v>
      </c>
    </row>
    <row r="83" spans="2:4" x14ac:dyDescent="0.25">
      <c r="B83" s="24" t="s">
        <v>147</v>
      </c>
      <c r="C83" s="5" t="s">
        <v>148</v>
      </c>
      <c r="D83" s="210">
        <v>0</v>
      </c>
    </row>
    <row r="84" spans="2:4" x14ac:dyDescent="0.25">
      <c r="B84" s="24" t="s">
        <v>185</v>
      </c>
      <c r="C84" s="5" t="s">
        <v>186</v>
      </c>
      <c r="D84" s="210">
        <v>-30000</v>
      </c>
    </row>
    <row r="85" spans="2:4" x14ac:dyDescent="0.25">
      <c r="B85" s="24" t="str">
        <f>"5110"</f>
        <v>5110</v>
      </c>
      <c r="C85" s="5" t="str">
        <f>"Arrende"</f>
        <v>Arrende</v>
      </c>
      <c r="D85" s="210">
        <v>-4500</v>
      </c>
    </row>
    <row r="86" spans="2:4" x14ac:dyDescent="0.25">
      <c r="B86" s="24" t="str">
        <f>"5120"</f>
        <v>5120</v>
      </c>
      <c r="C86" s="5" t="str">
        <f>"Elektricitet"</f>
        <v>Elektricitet</v>
      </c>
      <c r="D86" s="210">
        <v>-45000</v>
      </c>
    </row>
    <row r="87" spans="2:4" x14ac:dyDescent="0.25">
      <c r="B87" s="24" t="str">
        <f>"5140"</f>
        <v>5140</v>
      </c>
      <c r="C87" s="5" t="str">
        <f>"Vatten och sophämtning"</f>
        <v>Vatten och sophämtning</v>
      </c>
      <c r="D87" s="210">
        <v>-7000</v>
      </c>
    </row>
    <row r="88" spans="2:4" x14ac:dyDescent="0.25">
      <c r="B88" s="24" t="s">
        <v>45</v>
      </c>
      <c r="C88" s="5" t="s">
        <v>46</v>
      </c>
      <c r="D88" s="210">
        <v>0</v>
      </c>
    </row>
    <row r="89" spans="2:4" x14ac:dyDescent="0.25">
      <c r="B89" s="24" t="str">
        <f>"5170"</f>
        <v>5170</v>
      </c>
      <c r="C89" s="5" t="str">
        <f>"Fastighetsunderhåll"</f>
        <v>Fastighetsunderhåll</v>
      </c>
      <c r="D89" s="210">
        <v>-5000</v>
      </c>
    </row>
    <row r="90" spans="2:4" x14ac:dyDescent="0.25">
      <c r="B90" s="24" t="s">
        <v>47</v>
      </c>
      <c r="C90" s="5" t="s">
        <v>48</v>
      </c>
      <c r="D90" s="210"/>
    </row>
    <row r="91" spans="2:4" x14ac:dyDescent="0.25">
      <c r="B91" s="24" t="str">
        <f>"5410"</f>
        <v>5410</v>
      </c>
      <c r="C91" s="5" t="str">
        <f>"Förbrukningsinventarier"</f>
        <v>Förbrukningsinventarier</v>
      </c>
      <c r="D91" s="210">
        <v>-3000</v>
      </c>
    </row>
    <row r="92" spans="2:4" x14ac:dyDescent="0.25">
      <c r="B92" s="24" t="str">
        <f>"5420"</f>
        <v>5420</v>
      </c>
      <c r="C92" s="5" t="str">
        <f>"Programvaror"</f>
        <v>Programvaror</v>
      </c>
      <c r="D92" s="210">
        <v>-300</v>
      </c>
    </row>
    <row r="93" spans="2:4" x14ac:dyDescent="0.25">
      <c r="B93" s="24" t="s">
        <v>49</v>
      </c>
      <c r="C93" s="5" t="s">
        <v>50</v>
      </c>
      <c r="D93" s="210">
        <v>-3000</v>
      </c>
    </row>
    <row r="94" spans="2:4" x14ac:dyDescent="0.25">
      <c r="B94" s="24" t="str">
        <f>"5500"</f>
        <v>5500</v>
      </c>
      <c r="C94" s="5" t="str">
        <f>"Kanotunderhåll"</f>
        <v>Kanotunderhåll</v>
      </c>
      <c r="D94" s="210">
        <v>-3000</v>
      </c>
    </row>
    <row r="95" spans="2:4" x14ac:dyDescent="0.25">
      <c r="B95" s="24" t="str">
        <f>"5611"</f>
        <v>5611</v>
      </c>
      <c r="C95" s="5" t="s">
        <v>51</v>
      </c>
      <c r="D95" s="210">
        <v>-6000</v>
      </c>
    </row>
    <row r="96" spans="2:4" x14ac:dyDescent="0.25">
      <c r="B96" s="24" t="str">
        <f>"5612"</f>
        <v>5612</v>
      </c>
      <c r="C96" s="5" t="str">
        <f>"Försäkring"</f>
        <v>Försäkring</v>
      </c>
      <c r="D96" s="210">
        <v>-20000</v>
      </c>
    </row>
    <row r="97" spans="2:4" x14ac:dyDescent="0.25">
      <c r="B97" s="24" t="s">
        <v>52</v>
      </c>
      <c r="C97" s="5" t="s">
        <v>53</v>
      </c>
      <c r="D97" s="210">
        <v>-1000</v>
      </c>
    </row>
    <row r="98" spans="2:4" x14ac:dyDescent="0.25">
      <c r="B98" s="24" t="s">
        <v>178</v>
      </c>
      <c r="C98" s="5" t="s">
        <v>179</v>
      </c>
      <c r="D98" s="210"/>
    </row>
    <row r="99" spans="2:4" x14ac:dyDescent="0.25">
      <c r="B99" s="24" t="str">
        <f>"5620"</f>
        <v>5620</v>
      </c>
      <c r="C99" s="5" t="s">
        <v>54</v>
      </c>
      <c r="D99" s="210">
        <v>-3400</v>
      </c>
    </row>
    <row r="100" spans="2:4" x14ac:dyDescent="0.25">
      <c r="B100" s="24" t="s">
        <v>55</v>
      </c>
      <c r="C100" s="5" t="s">
        <v>56</v>
      </c>
      <c r="D100" s="210"/>
    </row>
    <row r="101" spans="2:4" x14ac:dyDescent="0.25">
      <c r="B101" s="24" t="str">
        <f>"6110"</f>
        <v>6110</v>
      </c>
      <c r="C101" s="5" t="str">
        <f>"Kontorsmaterial"</f>
        <v>Kontorsmaterial</v>
      </c>
      <c r="D101" s="210"/>
    </row>
    <row r="102" spans="2:4" x14ac:dyDescent="0.25">
      <c r="B102" s="24" t="str">
        <f>"6210"</f>
        <v>6210</v>
      </c>
      <c r="C102" s="5" t="str">
        <f>"Telefon"</f>
        <v>Telefon</v>
      </c>
      <c r="D102" s="210"/>
    </row>
    <row r="103" spans="2:4" x14ac:dyDescent="0.25">
      <c r="B103" s="24" t="str">
        <f>"6250"</f>
        <v>6250</v>
      </c>
      <c r="C103" s="5" t="str">
        <f>"Porto"</f>
        <v>Porto</v>
      </c>
      <c r="D103" s="210"/>
    </row>
    <row r="104" spans="2:4" x14ac:dyDescent="0.25">
      <c r="B104" s="24" t="s">
        <v>187</v>
      </c>
      <c r="C104" s="5" t="s">
        <v>188</v>
      </c>
      <c r="D104" s="210">
        <v>-4600</v>
      </c>
    </row>
    <row r="105" spans="2:4" x14ac:dyDescent="0.25">
      <c r="B105" s="24" t="s">
        <v>169</v>
      </c>
      <c r="C105" s="5" t="s">
        <v>170</v>
      </c>
      <c r="D105" s="210">
        <v>-10000</v>
      </c>
    </row>
    <row r="106" spans="2:4" x14ac:dyDescent="0.25">
      <c r="B106" s="24" t="s">
        <v>127</v>
      </c>
      <c r="C106" s="5" t="s">
        <v>128</v>
      </c>
      <c r="D106" s="210">
        <v>-5000</v>
      </c>
    </row>
    <row r="107" spans="2:4" x14ac:dyDescent="0.25">
      <c r="B107" s="24" t="str">
        <f>"6570"</f>
        <v>6570</v>
      </c>
      <c r="C107" s="5" t="str">
        <f>"Bankkostnader"</f>
        <v>Bankkostnader</v>
      </c>
      <c r="D107" s="210">
        <v>-1000</v>
      </c>
    </row>
    <row r="108" spans="2:4" x14ac:dyDescent="0.25">
      <c r="B108" s="24" t="str">
        <f>"6980"</f>
        <v>6980</v>
      </c>
      <c r="C108" s="5" t="str">
        <f>"Föreningsavgift /Licenser"</f>
        <v>Föreningsavgift /Licenser</v>
      </c>
      <c r="D108" s="210">
        <v>-30000</v>
      </c>
    </row>
    <row r="109" spans="2:4" x14ac:dyDescent="0.25">
      <c r="B109" s="24" t="str">
        <f>"6990"</f>
        <v>6990</v>
      </c>
      <c r="C109" s="5" t="str">
        <f>"Övriga Kostnader"</f>
        <v>Övriga Kostnader</v>
      </c>
      <c r="D109" s="210">
        <v>-7000</v>
      </c>
    </row>
    <row r="110" spans="2:4" x14ac:dyDescent="0.25">
      <c r="B110" s="26"/>
      <c r="C110" s="6"/>
      <c r="D110" s="210"/>
    </row>
    <row r="111" spans="2:4" ht="15.75" thickBot="1" x14ac:dyDescent="0.3">
      <c r="B111" s="27" t="str">
        <f>"S:a Övriga externa kostnader"</f>
        <v>S:a Övriga externa kostnader</v>
      </c>
      <c r="C111" s="14"/>
      <c r="D111" s="212">
        <f>SUM(D82:D109)</f>
        <v>-191800</v>
      </c>
    </row>
    <row r="112" spans="2:4" ht="15.75" thickBot="1" x14ac:dyDescent="0.3">
      <c r="B112" s="80"/>
      <c r="C112" s="81"/>
      <c r="D112" s="206"/>
    </row>
    <row r="113" spans="2:4" x14ac:dyDescent="0.25">
      <c r="B113" s="19"/>
      <c r="C113" s="20"/>
      <c r="D113" s="205"/>
    </row>
    <row r="114" spans="2:4" x14ac:dyDescent="0.25">
      <c r="B114" s="22" t="str">
        <f>"Personalkostnader"</f>
        <v>Personalkostnader</v>
      </c>
      <c r="C114" s="6"/>
      <c r="D114" s="203"/>
    </row>
    <row r="115" spans="2:4" x14ac:dyDescent="0.25">
      <c r="B115" s="24" t="s">
        <v>57</v>
      </c>
      <c r="C115" s="5" t="s">
        <v>58</v>
      </c>
      <c r="D115" s="210">
        <v>-2000</v>
      </c>
    </row>
    <row r="116" spans="2:4" x14ac:dyDescent="0.25">
      <c r="B116" s="24" t="str">
        <f>"7210"</f>
        <v>7210</v>
      </c>
      <c r="C116" s="5" t="str">
        <f>"Resekostnads ersättning"</f>
        <v>Resekostnads ersättning</v>
      </c>
      <c r="D116" s="210">
        <v>-2000</v>
      </c>
    </row>
    <row r="117" spans="2:4" x14ac:dyDescent="0.25">
      <c r="B117" s="24" t="str">
        <f>"7610"</f>
        <v>7610</v>
      </c>
      <c r="C117" s="5" t="str">
        <f>"Utbildning"</f>
        <v>Utbildning</v>
      </c>
      <c r="D117" s="210">
        <v>-5000</v>
      </c>
    </row>
    <row r="118" spans="2:4" x14ac:dyDescent="0.25">
      <c r="B118" s="26"/>
      <c r="C118" s="6" t="s">
        <v>37</v>
      </c>
      <c r="D118" s="210"/>
    </row>
    <row r="119" spans="2:4" ht="15.75" thickBot="1" x14ac:dyDescent="0.3">
      <c r="B119" s="27" t="str">
        <f>"S:a Personalkostnader"</f>
        <v>S:a Personalkostnader</v>
      </c>
      <c r="C119" s="14"/>
      <c r="D119" s="212">
        <f>SUM(D115:D117)</f>
        <v>-9000</v>
      </c>
    </row>
    <row r="120" spans="2:4" x14ac:dyDescent="0.25">
      <c r="B120" s="19"/>
      <c r="C120" s="20"/>
      <c r="D120" s="205"/>
    </row>
    <row r="121" spans="2:4" x14ac:dyDescent="0.25">
      <c r="B121" s="26"/>
      <c r="C121" s="6"/>
      <c r="D121" s="203"/>
    </row>
    <row r="122" spans="2:4" ht="15.75" thickBot="1" x14ac:dyDescent="0.3">
      <c r="B122" s="32" t="str">
        <f>"S:a Rörelsens kostnader inkl råvaror mm"</f>
        <v>S:a Rörelsens kostnader inkl råvaror mm</v>
      </c>
      <c r="C122" s="33"/>
      <c r="D122" s="147">
        <f>SUM(D75+D111+D119)</f>
        <v>-630800</v>
      </c>
    </row>
    <row r="123" spans="2:4" x14ac:dyDescent="0.25">
      <c r="B123" s="51"/>
      <c r="C123" s="17"/>
      <c r="D123" s="207"/>
    </row>
    <row r="124" spans="2:4" x14ac:dyDescent="0.25">
      <c r="B124" s="51" t="s">
        <v>59</v>
      </c>
      <c r="C124" s="17" t="s">
        <v>60</v>
      </c>
      <c r="D124" s="208">
        <v>500</v>
      </c>
    </row>
    <row r="125" spans="2:4" x14ac:dyDescent="0.25">
      <c r="B125" s="26"/>
      <c r="C125" s="6"/>
      <c r="D125" s="203"/>
    </row>
    <row r="126" spans="2:4" x14ac:dyDescent="0.25">
      <c r="B126" s="113" t="str">
        <f>"Beräknat resultat"</f>
        <v>Beräknat resultat</v>
      </c>
      <c r="C126" s="114"/>
      <c r="D126" s="150">
        <f>D43+D122</f>
        <v>3200</v>
      </c>
    </row>
    <row r="127" spans="2:4" ht="15.75" thickBot="1" x14ac:dyDescent="0.3">
      <c r="B127" s="37"/>
      <c r="C127" s="15"/>
      <c r="D127" s="15"/>
    </row>
  </sheetData>
  <mergeCells count="2">
    <mergeCell ref="B3:D3"/>
    <mergeCell ref="B4:D4"/>
  </mergeCells>
  <phoneticPr fontId="9" type="noConversion"/>
  <pageMargins left="0.25" right="0.25" top="0.75" bottom="0.75" header="0.3" footer="0.3"/>
  <pageSetup paperSize="9" scale="85" orientation="portrait" r:id="rId1"/>
  <headerFooter>
    <oddHeader>&amp;C&amp;"Calibri"&amp;10&amp;K008000 Zeppelin: Confidential GREEN&amp;1#_x000D_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93"/>
  <sheetViews>
    <sheetView workbookViewId="0">
      <selection activeCell="B25" sqref="B25"/>
    </sheetView>
  </sheetViews>
  <sheetFormatPr defaultRowHeight="15" x14ac:dyDescent="0.25"/>
  <cols>
    <col min="1" max="1" width="8.85546875" customWidth="1"/>
    <col min="2" max="2" width="26.7109375" customWidth="1"/>
    <col min="3" max="3" width="13.7109375" style="43" customWidth="1"/>
    <col min="4" max="5" width="13.7109375" bestFit="1" customWidth="1"/>
    <col min="6" max="6" width="4.28515625" customWidth="1"/>
    <col min="7" max="7" width="13.7109375" bestFit="1" customWidth="1"/>
    <col min="8" max="8" width="3.7109375" customWidth="1"/>
    <col min="9" max="9" width="13.7109375" bestFit="1" customWidth="1"/>
  </cols>
  <sheetData>
    <row r="1" spans="1:15" x14ac:dyDescent="0.25">
      <c r="A1" s="9" t="str">
        <f>"Sida:"</f>
        <v>Sida:</v>
      </c>
      <c r="B1" s="47">
        <v>1</v>
      </c>
      <c r="C1" s="40"/>
      <c r="D1" s="6"/>
      <c r="E1" s="6"/>
      <c r="F1" s="6"/>
      <c r="G1" s="6"/>
      <c r="H1" s="6"/>
      <c r="I1" s="6"/>
    </row>
    <row r="2" spans="1:15" x14ac:dyDescent="0.25">
      <c r="A2" s="9" t="str">
        <f>"Utskrivet:"</f>
        <v>Utskrivet:</v>
      </c>
      <c r="B2" s="7">
        <v>40543</v>
      </c>
      <c r="C2" s="40"/>
      <c r="D2" s="6"/>
      <c r="E2" s="6"/>
      <c r="F2" s="6"/>
      <c r="G2" s="6"/>
      <c r="H2" s="6"/>
      <c r="I2" s="6"/>
    </row>
    <row r="3" spans="1:15" x14ac:dyDescent="0.25">
      <c r="A3" s="9" t="str">
        <f>"Senaste vernr:"</f>
        <v>Senaste vernr:</v>
      </c>
      <c r="B3" s="9" t="s">
        <v>61</v>
      </c>
      <c r="C3" s="40"/>
      <c r="D3" s="8" t="s">
        <v>5</v>
      </c>
      <c r="E3" s="6"/>
      <c r="F3" s="6"/>
      <c r="G3" s="6"/>
      <c r="H3" s="6"/>
      <c r="I3" s="6"/>
    </row>
    <row r="4" spans="1:15" x14ac:dyDescent="0.25">
      <c r="A4" s="6"/>
      <c r="B4" s="6"/>
      <c r="C4" s="40"/>
      <c r="D4" s="7">
        <v>40543</v>
      </c>
      <c r="E4" s="6"/>
      <c r="F4" s="6"/>
      <c r="G4" s="6"/>
      <c r="H4" s="6"/>
      <c r="I4" s="6"/>
    </row>
    <row r="5" spans="1:15" x14ac:dyDescent="0.25">
      <c r="A5" s="6"/>
      <c r="B5" s="6"/>
      <c r="C5" s="11">
        <v>2011</v>
      </c>
      <c r="D5" s="8">
        <v>2010</v>
      </c>
      <c r="E5" s="8">
        <v>2010</v>
      </c>
      <c r="F5" s="6"/>
      <c r="G5" s="8">
        <v>2009</v>
      </c>
      <c r="H5" s="6"/>
      <c r="I5" s="8">
        <v>2008</v>
      </c>
    </row>
    <row r="6" spans="1:15" ht="15.75" thickBot="1" x14ac:dyDescent="0.3">
      <c r="A6" s="16"/>
      <c r="B6" s="16"/>
      <c r="C6" s="39" t="s">
        <v>4</v>
      </c>
      <c r="D6" s="18" t="s">
        <v>5</v>
      </c>
      <c r="E6" s="18" t="str">
        <f>"Periodbudget"</f>
        <v>Periodbudget</v>
      </c>
      <c r="F6" s="16"/>
      <c r="G6" s="17" t="s">
        <v>5</v>
      </c>
      <c r="H6" s="16"/>
      <c r="I6" s="17" t="s">
        <v>5</v>
      </c>
    </row>
    <row r="7" spans="1:15" x14ac:dyDescent="0.25">
      <c r="A7" s="19"/>
      <c r="B7" s="20"/>
      <c r="C7" s="41"/>
      <c r="D7" s="20"/>
      <c r="E7" s="20"/>
      <c r="F7" s="20"/>
      <c r="G7" s="20"/>
      <c r="H7" s="20"/>
      <c r="I7" s="21"/>
    </row>
    <row r="8" spans="1:15" x14ac:dyDescent="0.25">
      <c r="A8" s="22" t="str">
        <f>"Rörelsens intäkter och lagerförändring"</f>
        <v>Rörelsens intäkter och lagerförändring</v>
      </c>
      <c r="B8" s="6"/>
      <c r="C8" s="40"/>
      <c r="D8" s="6"/>
      <c r="E8" s="6"/>
      <c r="F8" s="6"/>
      <c r="G8" s="6"/>
      <c r="H8" s="6"/>
      <c r="I8" s="23"/>
    </row>
    <row r="9" spans="1:15" x14ac:dyDescent="0.25">
      <c r="A9" s="22" t="str">
        <f>"Nettoomsättning"</f>
        <v>Nettoomsättning</v>
      </c>
      <c r="B9" s="6"/>
      <c r="C9" s="40"/>
      <c r="D9" s="6"/>
      <c r="E9" s="6"/>
      <c r="F9" s="6"/>
      <c r="G9" s="6"/>
      <c r="H9" s="6"/>
      <c r="I9" s="23"/>
    </row>
    <row r="10" spans="1:15" x14ac:dyDescent="0.25">
      <c r="A10" s="24" t="str">
        <f>"3110"</f>
        <v>3110</v>
      </c>
      <c r="B10" s="5" t="str">
        <f>"Medlemsavgifter"</f>
        <v>Medlemsavgifter</v>
      </c>
      <c r="C10" s="40">
        <v>65000</v>
      </c>
      <c r="D10" s="10">
        <v>61750</v>
      </c>
      <c r="E10" s="10">
        <v>70500</v>
      </c>
      <c r="F10" s="10"/>
      <c r="G10" s="10">
        <v>54600</v>
      </c>
      <c r="H10" s="10"/>
      <c r="I10" s="25">
        <v>54800</v>
      </c>
      <c r="K10" t="s">
        <v>62</v>
      </c>
      <c r="O10" s="54" t="s">
        <v>63</v>
      </c>
    </row>
    <row r="11" spans="1:15" x14ac:dyDescent="0.25">
      <c r="A11" s="24" t="str">
        <f>"3120"</f>
        <v>3120</v>
      </c>
      <c r="B11" s="5" t="str">
        <f>"Intäkter kanothyra"</f>
        <v>Intäkter kanothyra</v>
      </c>
      <c r="C11" s="40">
        <v>15000</v>
      </c>
      <c r="D11" s="10">
        <v>12600</v>
      </c>
      <c r="E11" s="10">
        <v>15000</v>
      </c>
      <c r="F11" s="10"/>
      <c r="G11" s="10">
        <v>12500</v>
      </c>
      <c r="H11" s="10"/>
      <c r="I11" s="25">
        <v>8800</v>
      </c>
      <c r="K11" t="s">
        <v>64</v>
      </c>
    </row>
    <row r="12" spans="1:15" x14ac:dyDescent="0.25">
      <c r="A12" s="24" t="str">
        <f>"3130"</f>
        <v>3130</v>
      </c>
      <c r="B12" s="5" t="str">
        <f>"Intäkter kanotplats"</f>
        <v>Intäkter kanotplats</v>
      </c>
      <c r="C12" s="40">
        <v>16000</v>
      </c>
      <c r="D12" s="10">
        <v>16800</v>
      </c>
      <c r="E12" s="10">
        <v>16000</v>
      </c>
      <c r="F12" s="10"/>
      <c r="G12" s="10">
        <v>14300</v>
      </c>
      <c r="H12" s="10"/>
      <c r="I12" s="25">
        <v>14350</v>
      </c>
      <c r="K12" t="s">
        <v>65</v>
      </c>
    </row>
    <row r="13" spans="1:15" x14ac:dyDescent="0.25">
      <c r="A13" s="24" t="str">
        <f>"3140"</f>
        <v>3140</v>
      </c>
      <c r="B13" s="5" t="str">
        <f>"Intäkter kanotskola"</f>
        <v>Intäkter kanotskola</v>
      </c>
      <c r="C13" s="40">
        <v>20000</v>
      </c>
      <c r="D13" s="10">
        <v>24600</v>
      </c>
      <c r="E13" s="10">
        <v>12000</v>
      </c>
      <c r="F13" s="10"/>
      <c r="G13" s="10">
        <v>8550</v>
      </c>
      <c r="H13" s="10"/>
      <c r="I13" s="25">
        <v>8250</v>
      </c>
      <c r="K13" t="s">
        <v>66</v>
      </c>
    </row>
    <row r="14" spans="1:15" x14ac:dyDescent="0.25">
      <c r="A14" s="24" t="str">
        <f>"3142"</f>
        <v>3142</v>
      </c>
      <c r="B14" s="5" t="str">
        <f>"Prova-på-paddling"</f>
        <v>Prova-på-paddling</v>
      </c>
      <c r="C14" s="40">
        <v>3000</v>
      </c>
      <c r="D14" s="10">
        <v>2100</v>
      </c>
      <c r="E14" s="10">
        <v>5000</v>
      </c>
      <c r="F14" s="10"/>
      <c r="G14" s="10">
        <v>2590</v>
      </c>
      <c r="H14" s="10"/>
      <c r="I14" s="25"/>
      <c r="K14" t="s">
        <v>67</v>
      </c>
    </row>
    <row r="15" spans="1:15" x14ac:dyDescent="0.25">
      <c r="A15" s="24" t="str">
        <f>"3150"</f>
        <v>3150</v>
      </c>
      <c r="B15" s="5" t="str">
        <f>"Intäkter båtplats"</f>
        <v>Intäkter båtplats</v>
      </c>
      <c r="C15" s="40">
        <v>4000</v>
      </c>
      <c r="D15" s="10">
        <v>3000</v>
      </c>
      <c r="E15" s="10">
        <v>3000</v>
      </c>
      <c r="F15" s="10"/>
      <c r="G15" s="10">
        <v>3000</v>
      </c>
      <c r="H15" s="10"/>
      <c r="I15" s="25">
        <v>3000</v>
      </c>
      <c r="K15" t="s">
        <v>68</v>
      </c>
      <c r="O15" s="54" t="s">
        <v>69</v>
      </c>
    </row>
    <row r="16" spans="1:15" x14ac:dyDescent="0.25">
      <c r="A16" s="24" t="str">
        <f>"3210"</f>
        <v>3210</v>
      </c>
      <c r="B16" s="44" t="str">
        <f>"Intäkter tävling/transport"</f>
        <v>Intäkter tävling/transport</v>
      </c>
      <c r="C16" s="40">
        <v>16500</v>
      </c>
      <c r="D16" s="10">
        <v>0</v>
      </c>
      <c r="E16" s="10">
        <v>20000</v>
      </c>
      <c r="F16" s="10"/>
      <c r="G16" s="10">
        <v>0</v>
      </c>
      <c r="H16" s="10"/>
      <c r="I16" s="25"/>
      <c r="K16" t="s">
        <v>70</v>
      </c>
      <c r="O16" s="54" t="s">
        <v>71</v>
      </c>
    </row>
    <row r="17" spans="1:15" x14ac:dyDescent="0.25">
      <c r="A17" s="24" t="str">
        <f>"3211"</f>
        <v>3211</v>
      </c>
      <c r="B17" s="5" t="str">
        <f>"Anmälningsavgifter"</f>
        <v>Anmälningsavgifter</v>
      </c>
      <c r="C17" s="40">
        <v>0</v>
      </c>
      <c r="D17" s="10">
        <v>8957.94</v>
      </c>
      <c r="E17" s="10">
        <v>0</v>
      </c>
      <c r="F17" s="10"/>
      <c r="G17" s="10">
        <v>12290</v>
      </c>
      <c r="H17" s="10"/>
      <c r="I17" s="25">
        <v>8840</v>
      </c>
    </row>
    <row r="18" spans="1:15" x14ac:dyDescent="0.25">
      <c r="A18" s="24" t="str">
        <f>"3212"</f>
        <v>3212</v>
      </c>
      <c r="B18" s="5" t="str">
        <f>"Transportavgift"</f>
        <v>Transportavgift</v>
      </c>
      <c r="C18" s="40">
        <v>0</v>
      </c>
      <c r="D18" s="10">
        <v>4524</v>
      </c>
      <c r="E18" s="10">
        <v>0</v>
      </c>
      <c r="F18" s="10"/>
      <c r="G18" s="10">
        <v>5750</v>
      </c>
      <c r="H18" s="10"/>
      <c r="I18" s="25">
        <v>2732</v>
      </c>
    </row>
    <row r="19" spans="1:15" x14ac:dyDescent="0.25">
      <c r="A19" s="24" t="str">
        <f>"3213"</f>
        <v>3213</v>
      </c>
      <c r="B19" s="5" t="str">
        <f>"Kost och logi under tävlingar"</f>
        <v>Kost och logi under tävlingar</v>
      </c>
      <c r="C19" s="40">
        <v>0</v>
      </c>
      <c r="D19" s="10">
        <v>1818</v>
      </c>
      <c r="E19" s="10">
        <v>0</v>
      </c>
      <c r="F19" s="10"/>
      <c r="G19" s="10">
        <v>2846</v>
      </c>
      <c r="H19" s="10"/>
      <c r="I19" s="25">
        <v>3180</v>
      </c>
    </row>
    <row r="20" spans="1:15" x14ac:dyDescent="0.25">
      <c r="A20" s="24">
        <v>3214</v>
      </c>
      <c r="B20" s="6" t="s">
        <v>9</v>
      </c>
      <c r="C20" s="40">
        <v>0</v>
      </c>
      <c r="D20" s="10">
        <v>1245</v>
      </c>
      <c r="E20" s="10"/>
      <c r="F20" s="10"/>
      <c r="G20" s="10">
        <v>1300</v>
      </c>
      <c r="H20" s="10"/>
      <c r="I20" s="25"/>
    </row>
    <row r="21" spans="1:15" x14ac:dyDescent="0.25">
      <c r="A21" s="24" t="str">
        <f>"3220"</f>
        <v>3220</v>
      </c>
      <c r="B21" s="44" t="str">
        <f>"Intäkter läger"</f>
        <v>Intäkter läger</v>
      </c>
      <c r="C21" s="40">
        <v>6000</v>
      </c>
      <c r="D21" s="10">
        <v>0</v>
      </c>
      <c r="E21" s="10">
        <v>6000</v>
      </c>
      <c r="F21" s="10"/>
      <c r="G21" s="10">
        <v>835</v>
      </c>
      <c r="H21" s="10"/>
      <c r="I21" s="25">
        <v>23100</v>
      </c>
      <c r="K21" t="s">
        <v>72</v>
      </c>
    </row>
    <row r="22" spans="1:15" x14ac:dyDescent="0.25">
      <c r="A22" s="24" t="str">
        <f>"3221"</f>
        <v>3221</v>
      </c>
      <c r="B22" s="5" t="s">
        <v>10</v>
      </c>
      <c r="C22" s="40">
        <v>0</v>
      </c>
      <c r="D22" s="10">
        <v>6390</v>
      </c>
      <c r="E22" s="10">
        <v>0</v>
      </c>
      <c r="F22" s="10"/>
      <c r="G22" s="10"/>
      <c r="H22" s="10"/>
      <c r="I22" s="25"/>
    </row>
    <row r="23" spans="1:15" x14ac:dyDescent="0.25">
      <c r="A23" s="24" t="s">
        <v>11</v>
      </c>
      <c r="B23" s="5" t="s">
        <v>12</v>
      </c>
      <c r="C23" s="40">
        <v>0</v>
      </c>
      <c r="D23" s="10">
        <v>0</v>
      </c>
      <c r="E23" s="10"/>
      <c r="F23" s="10"/>
      <c r="G23" s="10">
        <v>112</v>
      </c>
      <c r="H23" s="10"/>
      <c r="I23" s="23"/>
    </row>
    <row r="24" spans="1:15" x14ac:dyDescent="0.25">
      <c r="A24" s="24" t="str">
        <f>"3223"</f>
        <v>3223</v>
      </c>
      <c r="B24" s="5" t="str">
        <f>"Intäkter SM läger"</f>
        <v>Intäkter SM läger</v>
      </c>
      <c r="C24" s="40">
        <v>15000</v>
      </c>
      <c r="D24" s="10">
        <v>15000</v>
      </c>
      <c r="E24" s="10">
        <v>19000</v>
      </c>
      <c r="F24" s="10"/>
      <c r="G24" s="10">
        <v>19215</v>
      </c>
      <c r="H24" s="10"/>
      <c r="I24" s="25">
        <v>15550</v>
      </c>
      <c r="K24" t="s">
        <v>73</v>
      </c>
    </row>
    <row r="25" spans="1:15" x14ac:dyDescent="0.25">
      <c r="A25" s="24" t="str">
        <f>"3310"</f>
        <v>3310</v>
      </c>
      <c r="B25" s="5" t="str">
        <f>"Bingolotto"</f>
        <v>Bingolotto</v>
      </c>
      <c r="C25" s="40">
        <v>5000</v>
      </c>
      <c r="D25" s="10">
        <v>5110</v>
      </c>
      <c r="E25" s="10">
        <v>6500</v>
      </c>
      <c r="F25" s="10"/>
      <c r="G25" s="10">
        <v>5992</v>
      </c>
      <c r="H25" s="10"/>
      <c r="I25" s="25">
        <v>6799</v>
      </c>
      <c r="K25" t="s">
        <v>73</v>
      </c>
      <c r="O25" s="54" t="s">
        <v>74</v>
      </c>
    </row>
    <row r="26" spans="1:15" x14ac:dyDescent="0.25">
      <c r="A26" s="24" t="str">
        <f>"3320"</f>
        <v>3320</v>
      </c>
      <c r="B26" s="5" t="str">
        <f>"Övrig lotteriverksamhet"</f>
        <v>Övrig lotteriverksamhet</v>
      </c>
      <c r="C26" s="40">
        <v>2500</v>
      </c>
      <c r="D26" s="10">
        <v>2260</v>
      </c>
      <c r="E26" s="10">
        <v>0</v>
      </c>
      <c r="F26" s="10"/>
      <c r="G26" s="10"/>
      <c r="H26" s="10"/>
      <c r="I26" s="23"/>
      <c r="K26" t="s">
        <v>75</v>
      </c>
    </row>
    <row r="27" spans="1:15" x14ac:dyDescent="0.25">
      <c r="A27" s="24" t="s">
        <v>15</v>
      </c>
      <c r="B27" s="5" t="s">
        <v>16</v>
      </c>
      <c r="C27" s="40"/>
      <c r="D27" s="10"/>
      <c r="E27" s="10"/>
      <c r="F27" s="10"/>
      <c r="G27" s="10">
        <v>22107</v>
      </c>
      <c r="H27" s="10"/>
      <c r="I27" s="25">
        <v>65940</v>
      </c>
      <c r="K27" t="s">
        <v>76</v>
      </c>
    </row>
    <row r="28" spans="1:15" x14ac:dyDescent="0.25">
      <c r="A28" s="24" t="str">
        <f>"3420"</f>
        <v>3420</v>
      </c>
      <c r="B28" s="5" t="str">
        <f>"Intäkter Sponsorer"</f>
        <v>Intäkter Sponsorer</v>
      </c>
      <c r="C28" s="40">
        <v>40000</v>
      </c>
      <c r="D28" s="10">
        <v>123500</v>
      </c>
      <c r="E28" s="10">
        <v>40000</v>
      </c>
      <c r="F28" s="10"/>
      <c r="G28" s="10">
        <v>12500</v>
      </c>
      <c r="H28" s="10"/>
      <c r="I28" s="25">
        <v>10000</v>
      </c>
      <c r="K28" t="s">
        <v>77</v>
      </c>
    </row>
    <row r="29" spans="1:15" x14ac:dyDescent="0.25">
      <c r="A29" s="24" t="str">
        <f>"3421"</f>
        <v>3421</v>
      </c>
      <c r="B29" s="5" t="str">
        <f>"Intäkter Handslaget"</f>
        <v>Intäkter Handslaget</v>
      </c>
      <c r="C29" s="40"/>
      <c r="D29" s="10">
        <v>38000</v>
      </c>
      <c r="E29" s="10">
        <v>0</v>
      </c>
      <c r="F29" s="10"/>
      <c r="G29" s="10">
        <v>28000</v>
      </c>
      <c r="H29" s="10"/>
      <c r="I29" s="23"/>
    </row>
    <row r="30" spans="1:15" x14ac:dyDescent="0.25">
      <c r="A30" s="24" t="str">
        <f>"3430"</f>
        <v>3430</v>
      </c>
      <c r="B30" s="5" t="str">
        <f>"Intäkter föräldrarföreningen"</f>
        <v>Intäkter föräldrarföreningen</v>
      </c>
      <c r="C30" s="40">
        <v>15000</v>
      </c>
      <c r="D30" s="10">
        <v>15700.33</v>
      </c>
      <c r="E30" s="10">
        <v>15000</v>
      </c>
      <c r="F30" s="10"/>
      <c r="G30" s="10">
        <v>0</v>
      </c>
      <c r="H30" s="10"/>
      <c r="I30" s="25">
        <v>20000</v>
      </c>
      <c r="O30" s="54" t="s">
        <v>78</v>
      </c>
    </row>
    <row r="31" spans="1:15" x14ac:dyDescent="0.25">
      <c r="A31" s="24" t="str">
        <f>"3520"</f>
        <v>3520</v>
      </c>
      <c r="B31" s="5" t="str">
        <f>"Intäkter Kanotförsäkring"</f>
        <v>Intäkter Kanotförsäkring</v>
      </c>
      <c r="C31" s="40">
        <v>12500</v>
      </c>
      <c r="D31" s="10">
        <v>12551.33</v>
      </c>
      <c r="E31" s="10">
        <v>3000</v>
      </c>
      <c r="F31" s="10"/>
      <c r="G31" s="10">
        <v>4850</v>
      </c>
      <c r="H31" s="10"/>
      <c r="I31" s="25">
        <v>1188</v>
      </c>
    </row>
    <row r="32" spans="1:15" x14ac:dyDescent="0.25">
      <c r="A32" s="24" t="str">
        <f>"3710"</f>
        <v>3710</v>
      </c>
      <c r="B32" s="5" t="str">
        <f>"Kommunala bidrag"</f>
        <v>Kommunala bidrag</v>
      </c>
      <c r="C32" s="40">
        <v>60000</v>
      </c>
      <c r="D32" s="10">
        <v>60337</v>
      </c>
      <c r="E32" s="10">
        <v>42000</v>
      </c>
      <c r="F32" s="10"/>
      <c r="G32" s="10">
        <v>41591</v>
      </c>
      <c r="H32" s="10"/>
      <c r="I32" s="25">
        <v>19324</v>
      </c>
    </row>
    <row r="33" spans="1:11" x14ac:dyDescent="0.25">
      <c r="A33" s="24" t="str">
        <f>"3730"</f>
        <v>3730</v>
      </c>
      <c r="B33" s="5" t="str">
        <f>"LOK-stöd Riksidrottsförbundet"</f>
        <v>LOK-stöd Riksidrottsförbundet</v>
      </c>
      <c r="C33" s="40">
        <v>33000</v>
      </c>
      <c r="D33" s="10">
        <v>33200.36</v>
      </c>
      <c r="E33" s="10">
        <v>35000</v>
      </c>
      <c r="F33" s="10"/>
      <c r="G33" s="10">
        <v>30560.16</v>
      </c>
      <c r="H33" s="10"/>
      <c r="I33" s="25">
        <v>35697.699999999997</v>
      </c>
    </row>
    <row r="34" spans="1:11" x14ac:dyDescent="0.25">
      <c r="A34" s="24" t="s">
        <v>22</v>
      </c>
      <c r="B34" s="5" t="s">
        <v>23</v>
      </c>
      <c r="C34" s="40"/>
      <c r="D34" s="10"/>
      <c r="E34" s="10"/>
      <c r="F34" s="10"/>
      <c r="G34" s="10">
        <v>20000</v>
      </c>
      <c r="H34" s="10"/>
      <c r="I34" s="25"/>
    </row>
    <row r="35" spans="1:11" x14ac:dyDescent="0.25">
      <c r="A35" s="24" t="str">
        <f>"3790"</f>
        <v>3790</v>
      </c>
      <c r="B35" s="5" t="str">
        <f>"Övriga bidrag"</f>
        <v>Övriga bidrag</v>
      </c>
      <c r="C35" s="40">
        <v>15000</v>
      </c>
      <c r="D35" s="10">
        <v>43544</v>
      </c>
      <c r="E35" s="10">
        <v>0</v>
      </c>
      <c r="F35" s="10"/>
      <c r="G35" s="10">
        <v>3082.5</v>
      </c>
      <c r="H35" s="10"/>
      <c r="I35" s="25">
        <v>80000</v>
      </c>
    </row>
    <row r="36" spans="1:11" x14ac:dyDescent="0.25">
      <c r="A36" s="26"/>
      <c r="B36" s="6"/>
      <c r="C36" s="40"/>
      <c r="D36" s="10"/>
      <c r="E36" s="10"/>
      <c r="F36" s="10"/>
      <c r="G36" s="10"/>
      <c r="H36" s="10"/>
      <c r="I36" s="25"/>
    </row>
    <row r="37" spans="1:11" s="1" customFormat="1" ht="15.75" thickBot="1" x14ac:dyDescent="0.3">
      <c r="A37" s="27" t="str">
        <f>"S:a Nettoomsättning"</f>
        <v>S:a Nettoomsättning</v>
      </c>
      <c r="B37" s="14"/>
      <c r="C37" s="34">
        <f>SUM(C10:C36)</f>
        <v>343500</v>
      </c>
      <c r="D37" s="28">
        <f>SUM(D10:D36)</f>
        <v>492987.96</v>
      </c>
      <c r="E37" s="28">
        <f>SUM(E10:E36)</f>
        <v>308000</v>
      </c>
      <c r="F37" s="28"/>
      <c r="G37" s="28">
        <f>SUM(G10:G36)</f>
        <v>306570.65999999997</v>
      </c>
      <c r="H37" s="28"/>
      <c r="I37" s="29">
        <f>SUM(I10:I36)</f>
        <v>381550.7</v>
      </c>
    </row>
    <row r="38" spans="1:11" x14ac:dyDescent="0.25">
      <c r="A38" s="19"/>
      <c r="B38" s="20"/>
      <c r="C38" s="41"/>
      <c r="D38" s="30"/>
      <c r="E38" s="30"/>
      <c r="F38" s="30"/>
      <c r="G38" s="30"/>
      <c r="H38" s="30"/>
      <c r="I38" s="31"/>
    </row>
    <row r="39" spans="1:11" x14ac:dyDescent="0.25">
      <c r="A39" s="22" t="str">
        <f>"Aktiverat arbete för egen räkning"</f>
        <v>Aktiverat arbete för egen räkning</v>
      </c>
      <c r="B39" s="6"/>
      <c r="C39" s="40"/>
      <c r="D39" s="10"/>
      <c r="E39" s="10"/>
      <c r="F39" s="10"/>
      <c r="G39" s="10"/>
      <c r="H39" s="10"/>
      <c r="I39" s="25"/>
    </row>
    <row r="40" spans="1:11" x14ac:dyDescent="0.25">
      <c r="A40" s="24" t="s">
        <v>25</v>
      </c>
      <c r="B40" s="6" t="s">
        <v>79</v>
      </c>
      <c r="C40" s="40"/>
      <c r="D40" s="10">
        <v>10541.06</v>
      </c>
      <c r="E40" s="10"/>
      <c r="F40" s="10"/>
      <c r="G40" s="10">
        <v>10035</v>
      </c>
      <c r="H40" s="10"/>
      <c r="I40" s="25">
        <v>21634</v>
      </c>
    </row>
    <row r="41" spans="1:11" x14ac:dyDescent="0.25">
      <c r="A41" s="24" t="str">
        <f>"3813"</f>
        <v>3813</v>
      </c>
      <c r="B41" s="5" t="str">
        <f>"Uthyrning av idrottsanläggning"</f>
        <v>Uthyrning av idrottsanläggning</v>
      </c>
      <c r="C41" s="40">
        <v>8000</v>
      </c>
      <c r="D41" s="10">
        <v>8000</v>
      </c>
      <c r="E41" s="10">
        <v>8000</v>
      </c>
      <c r="F41" s="10"/>
      <c r="G41" s="10">
        <v>8650</v>
      </c>
      <c r="H41" s="10"/>
      <c r="I41" s="25"/>
      <c r="K41" t="s">
        <v>80</v>
      </c>
    </row>
    <row r="42" spans="1:11" x14ac:dyDescent="0.25">
      <c r="A42" s="26"/>
      <c r="B42" s="6"/>
      <c r="C42" s="40"/>
      <c r="D42" s="10"/>
      <c r="E42" s="10"/>
      <c r="F42" s="10"/>
      <c r="G42" s="10"/>
      <c r="H42" s="10"/>
      <c r="I42" s="25"/>
    </row>
    <row r="43" spans="1:11" s="1" customFormat="1" ht="15.75" thickBot="1" x14ac:dyDescent="0.3">
      <c r="A43" s="27" t="str">
        <f>"S:a Aktiverat arbete för egen räkning"</f>
        <v>S:a Aktiverat arbete för egen räkning</v>
      </c>
      <c r="B43" s="14"/>
      <c r="C43" s="34">
        <f>SUM(C40:C42)</f>
        <v>8000</v>
      </c>
      <c r="D43" s="28">
        <f>SUM(D40:D42)</f>
        <v>18541.059999999998</v>
      </c>
      <c r="E43" s="28">
        <f>SUM(E40:E42)</f>
        <v>8000</v>
      </c>
      <c r="F43" s="28"/>
      <c r="G43" s="28">
        <f>SUM(G40:G42)</f>
        <v>18685</v>
      </c>
      <c r="H43" s="28"/>
      <c r="I43" s="29">
        <f>SUM(I40:I42)</f>
        <v>21634</v>
      </c>
    </row>
    <row r="44" spans="1:11" x14ac:dyDescent="0.25">
      <c r="A44" s="19"/>
      <c r="B44" s="20"/>
      <c r="C44" s="41"/>
      <c r="D44" s="30"/>
      <c r="E44" s="30"/>
      <c r="F44" s="30"/>
      <c r="G44" s="30"/>
      <c r="H44" s="30"/>
      <c r="I44" s="31"/>
    </row>
    <row r="45" spans="1:11" x14ac:dyDescent="0.25">
      <c r="A45" s="22" t="str">
        <f>"Övriga rörelseintäkter"</f>
        <v>Övriga rörelseintäkter</v>
      </c>
      <c r="B45" s="6"/>
      <c r="C45" s="40"/>
      <c r="D45" s="10"/>
      <c r="E45" s="10"/>
      <c r="F45" s="10"/>
      <c r="G45" s="10"/>
      <c r="H45" s="10"/>
      <c r="I45" s="25"/>
    </row>
    <row r="46" spans="1:11" x14ac:dyDescent="0.25">
      <c r="A46" s="24" t="str">
        <f>"3990"</f>
        <v>3990</v>
      </c>
      <c r="B46" s="5" t="str">
        <f>"Övr ersättn och intäkter"</f>
        <v>Övr ersättn och intäkter</v>
      </c>
      <c r="C46" s="40">
        <v>0</v>
      </c>
      <c r="D46" s="10">
        <v>15361</v>
      </c>
      <c r="E46" s="10">
        <v>30000</v>
      </c>
      <c r="F46" s="10"/>
      <c r="G46" s="10">
        <v>27510</v>
      </c>
      <c r="H46" s="10"/>
      <c r="I46" s="25">
        <v>43550</v>
      </c>
    </row>
    <row r="47" spans="1:11" x14ac:dyDescent="0.25">
      <c r="A47" s="24" t="str">
        <f>"3991"</f>
        <v>3991</v>
      </c>
      <c r="B47" s="5" t="str">
        <f>"Team Porto"</f>
        <v>Team Porto</v>
      </c>
      <c r="C47" s="40">
        <v>0</v>
      </c>
      <c r="D47" s="10">
        <v>1500</v>
      </c>
      <c r="E47" s="10">
        <v>0</v>
      </c>
      <c r="F47" s="10"/>
      <c r="G47" s="10">
        <v>0</v>
      </c>
      <c r="H47" s="10"/>
      <c r="I47" s="25">
        <v>18000</v>
      </c>
    </row>
    <row r="48" spans="1:11" x14ac:dyDescent="0.25">
      <c r="A48" s="24" t="str">
        <f>"3992"</f>
        <v>3992</v>
      </c>
      <c r="B48" s="5" t="str">
        <f>"Intäkter 40års fest"</f>
        <v>Intäkter 40års fest</v>
      </c>
      <c r="C48" s="40">
        <v>0</v>
      </c>
      <c r="D48" s="10">
        <v>10010</v>
      </c>
      <c r="E48" s="10">
        <v>0</v>
      </c>
      <c r="F48" s="10"/>
      <c r="G48" s="10">
        <v>-5998</v>
      </c>
      <c r="H48" s="10"/>
      <c r="I48" s="25"/>
    </row>
    <row r="49" spans="1:60" x14ac:dyDescent="0.25">
      <c r="A49" s="26"/>
      <c r="B49" s="6"/>
      <c r="C49" s="40"/>
      <c r="D49" s="10"/>
      <c r="E49" s="10"/>
      <c r="F49" s="10"/>
      <c r="G49" s="10"/>
      <c r="H49" s="10"/>
      <c r="I49" s="25"/>
    </row>
    <row r="50" spans="1:60" s="1" customFormat="1" ht="15.75" thickBot="1" x14ac:dyDescent="0.3">
      <c r="A50" s="27" t="str">
        <f>"S:a Övriga rörelseintäkter"</f>
        <v>S:a Övriga rörelseintäkter</v>
      </c>
      <c r="B50" s="14"/>
      <c r="C50" s="34">
        <f>SUM(C46:C49)</f>
        <v>0</v>
      </c>
      <c r="D50" s="28">
        <f>SUM(D46:D49)</f>
        <v>26871</v>
      </c>
      <c r="E50" s="28">
        <f>SUM(E46:E49)</f>
        <v>30000</v>
      </c>
      <c r="F50" s="28"/>
      <c r="G50" s="28">
        <f>SUM(G46:G49)</f>
        <v>21512</v>
      </c>
      <c r="H50" s="28"/>
      <c r="I50" s="29">
        <f>SUM(I46:I49)</f>
        <v>61550</v>
      </c>
    </row>
    <row r="51" spans="1:60" x14ac:dyDescent="0.25">
      <c r="A51" s="19"/>
      <c r="B51" s="20"/>
      <c r="C51" s="41"/>
      <c r="D51" s="30"/>
      <c r="E51" s="30"/>
      <c r="F51" s="30"/>
      <c r="G51" s="30"/>
      <c r="H51" s="30"/>
      <c r="I51" s="31"/>
    </row>
    <row r="52" spans="1:60" x14ac:dyDescent="0.25">
      <c r="A52" s="26"/>
      <c r="B52" s="6"/>
      <c r="C52" s="40"/>
      <c r="D52" s="10"/>
      <c r="E52" s="10"/>
      <c r="F52" s="10"/>
      <c r="G52" s="10"/>
      <c r="H52" s="10"/>
      <c r="I52" s="25"/>
    </row>
    <row r="53" spans="1:60" s="2" customFormat="1" ht="15.75" thickBot="1" x14ac:dyDescent="0.3">
      <c r="A53" s="32" t="str">
        <f>"S:a Rörelseintäkter och lagerförändring"</f>
        <v>S:a Rörelseintäkter och lagerförändring</v>
      </c>
      <c r="B53" s="33"/>
      <c r="C53" s="48">
        <f>C37+C43+C50</f>
        <v>351500</v>
      </c>
      <c r="D53" s="34">
        <f>D37+D43+D50</f>
        <v>538400.02</v>
      </c>
      <c r="E53" s="34">
        <f>E37+E43+E50</f>
        <v>346000</v>
      </c>
      <c r="F53" s="34"/>
      <c r="G53" s="34">
        <f>G37+G43+G50</f>
        <v>346767.66</v>
      </c>
      <c r="H53" s="34"/>
      <c r="I53" s="35">
        <f>I37+I43+I50</f>
        <v>464734.7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1:60" x14ac:dyDescent="0.25">
      <c r="A54" s="19"/>
      <c r="B54" s="20"/>
      <c r="C54" s="41"/>
      <c r="D54" s="30"/>
      <c r="E54" s="30"/>
      <c r="F54" s="30"/>
      <c r="G54" s="30"/>
      <c r="H54" s="30"/>
      <c r="I54" s="31"/>
    </row>
    <row r="55" spans="1:60" x14ac:dyDescent="0.25">
      <c r="A55" s="22" t="str">
        <f>"Rörelsens kostnader"</f>
        <v>Rörelsens kostnader</v>
      </c>
      <c r="B55" s="6"/>
      <c r="C55" s="40"/>
      <c r="D55" s="10"/>
      <c r="E55" s="10"/>
      <c r="F55" s="10"/>
      <c r="G55" s="10"/>
      <c r="H55" s="10"/>
      <c r="I55" s="25"/>
    </row>
    <row r="56" spans="1:60" x14ac:dyDescent="0.25">
      <c r="A56" s="22" t="str">
        <f>"Råvaror och förnödenheter mm"</f>
        <v>Råvaror och förnödenheter mm</v>
      </c>
      <c r="B56" s="6"/>
      <c r="C56" s="40"/>
      <c r="D56" s="10"/>
      <c r="E56" s="10"/>
      <c r="F56" s="10"/>
      <c r="G56" s="10"/>
      <c r="H56" s="10"/>
      <c r="I56" s="25"/>
    </row>
    <row r="57" spans="1:60" x14ac:dyDescent="0.25">
      <c r="A57" s="24" t="str">
        <f>"4010"</f>
        <v>4010</v>
      </c>
      <c r="B57" s="5" t="str">
        <f>"Tävlingskostnader"</f>
        <v>Tävlingskostnader</v>
      </c>
      <c r="C57" s="45">
        <v>-70000</v>
      </c>
      <c r="D57" s="10">
        <v>0</v>
      </c>
      <c r="E57" s="10">
        <v>-61000</v>
      </c>
      <c r="F57" s="10"/>
      <c r="G57" s="10">
        <v>-1005</v>
      </c>
      <c r="H57" s="10"/>
      <c r="I57" s="25">
        <v>-5450</v>
      </c>
      <c r="K57" t="s">
        <v>81</v>
      </c>
      <c r="O57" s="54" t="s">
        <v>82</v>
      </c>
    </row>
    <row r="58" spans="1:60" x14ac:dyDescent="0.25">
      <c r="A58" s="24" t="str">
        <f>"4011"</f>
        <v>4011</v>
      </c>
      <c r="B58" s="5" t="str">
        <f>"Anmälningsavgifter"</f>
        <v>Anmälningsavgifter</v>
      </c>
      <c r="C58" s="40">
        <v>0</v>
      </c>
      <c r="D58" s="10">
        <v>-45206</v>
      </c>
      <c r="E58" s="10">
        <v>0</v>
      </c>
      <c r="F58" s="10"/>
      <c r="G58" s="10">
        <v>-43670.54</v>
      </c>
      <c r="H58" s="10"/>
      <c r="I58" s="25">
        <v>-35313.22</v>
      </c>
    </row>
    <row r="59" spans="1:60" x14ac:dyDescent="0.25">
      <c r="A59" s="24" t="str">
        <f>"4012"</f>
        <v>4012</v>
      </c>
      <c r="B59" s="5" t="str">
        <f>"transportkostnader"</f>
        <v>transportkostnader</v>
      </c>
      <c r="C59" s="40">
        <v>0</v>
      </c>
      <c r="D59" s="10">
        <v>-25424</v>
      </c>
      <c r="E59" s="10">
        <v>0</v>
      </c>
      <c r="F59" s="10"/>
      <c r="G59" s="10">
        <v>-17624.8</v>
      </c>
      <c r="H59" s="10"/>
      <c r="I59" s="25">
        <v>-18598</v>
      </c>
    </row>
    <row r="60" spans="1:60" x14ac:dyDescent="0.25">
      <c r="A60" s="24" t="str">
        <f>"4013"</f>
        <v>4013</v>
      </c>
      <c r="B60" s="5" t="str">
        <f>"Kost och logi under tävlingar"</f>
        <v>Kost och logi under tävlingar</v>
      </c>
      <c r="C60" s="40">
        <v>0</v>
      </c>
      <c r="D60" s="10">
        <v>-4616</v>
      </c>
      <c r="E60" s="10">
        <v>0</v>
      </c>
      <c r="F60" s="10"/>
      <c r="G60" s="10">
        <v>-3037</v>
      </c>
      <c r="H60" s="10"/>
      <c r="I60" s="25">
        <v>-7403</v>
      </c>
    </row>
    <row r="61" spans="1:60" x14ac:dyDescent="0.25">
      <c r="A61" s="24" t="str">
        <f>"4014"</f>
        <v>4014</v>
      </c>
      <c r="B61" s="5" t="str">
        <f>"Övriga tävlingskostnader"</f>
        <v>Övriga tävlingskostnader</v>
      </c>
      <c r="C61" s="40">
        <v>0</v>
      </c>
      <c r="D61" s="10">
        <v>-4460</v>
      </c>
      <c r="E61" s="10">
        <v>0</v>
      </c>
      <c r="F61" s="10"/>
      <c r="G61" s="10">
        <v>-1900</v>
      </c>
      <c r="H61" s="10"/>
      <c r="I61" s="25">
        <v>-14050</v>
      </c>
    </row>
    <row r="62" spans="1:60" x14ac:dyDescent="0.25">
      <c r="A62" s="24" t="str">
        <f>"4020"</f>
        <v>4020</v>
      </c>
      <c r="B62" s="5" t="str">
        <f>"Lägerkostnader"</f>
        <v>Lägerkostnader</v>
      </c>
      <c r="C62" s="45">
        <v>-40000</v>
      </c>
      <c r="D62" s="10">
        <v>-1100</v>
      </c>
      <c r="E62" s="10">
        <v>-61000</v>
      </c>
      <c r="F62" s="10"/>
      <c r="G62" s="10">
        <v>-5339</v>
      </c>
      <c r="H62" s="10"/>
      <c r="I62" s="25">
        <v>-46962.58</v>
      </c>
      <c r="K62" t="s">
        <v>81</v>
      </c>
      <c r="O62" s="54" t="s">
        <v>83</v>
      </c>
    </row>
    <row r="63" spans="1:60" x14ac:dyDescent="0.25">
      <c r="A63" s="24" t="str">
        <f>"4021"</f>
        <v>4021</v>
      </c>
      <c r="B63" s="5" t="str">
        <f>"Anmälningsavgifter, Läger"</f>
        <v>Anmälningsavgifter, Läger</v>
      </c>
      <c r="C63" s="40">
        <v>0</v>
      </c>
      <c r="D63" s="10">
        <v>-17400</v>
      </c>
      <c r="E63" s="10">
        <v>0</v>
      </c>
      <c r="F63" s="10"/>
      <c r="G63" s="10">
        <v>-8035</v>
      </c>
      <c r="H63" s="10"/>
      <c r="I63" s="25"/>
    </row>
    <row r="64" spans="1:60" x14ac:dyDescent="0.25">
      <c r="A64" s="24" t="str">
        <f>"4022"</f>
        <v>4022</v>
      </c>
      <c r="B64" s="5" t="str">
        <f>"Transportkostnader, Läger"</f>
        <v>Transportkostnader, Läger</v>
      </c>
      <c r="C64" s="40">
        <v>0</v>
      </c>
      <c r="D64" s="10">
        <v>-6040.5</v>
      </c>
      <c r="E64" s="10">
        <v>0</v>
      </c>
      <c r="F64" s="10"/>
      <c r="G64" s="10">
        <v>-4154</v>
      </c>
      <c r="H64" s="10"/>
      <c r="I64" s="25">
        <v>-6209</v>
      </c>
    </row>
    <row r="65" spans="1:15" x14ac:dyDescent="0.25">
      <c r="A65" s="24" t="str">
        <f>"4024"</f>
        <v>4024</v>
      </c>
      <c r="B65" s="5" t="str">
        <f>"SM läger"</f>
        <v>SM läger</v>
      </c>
      <c r="C65" s="40">
        <v>0</v>
      </c>
      <c r="D65" s="10">
        <v>-28738</v>
      </c>
      <c r="E65" s="10">
        <v>0</v>
      </c>
      <c r="F65" s="10"/>
      <c r="G65" s="10">
        <v>-900</v>
      </c>
      <c r="H65" s="10"/>
      <c r="I65" s="25">
        <v>-3335</v>
      </c>
    </row>
    <row r="66" spans="1:15" x14ac:dyDescent="0.25">
      <c r="A66" s="24" t="str">
        <f>"4110"</f>
        <v>4110</v>
      </c>
      <c r="B66" s="5" t="str">
        <f>"Kostnader Kanotskolan"</f>
        <v>Kostnader Kanotskolan</v>
      </c>
      <c r="C66" s="40">
        <v>-7600</v>
      </c>
      <c r="D66" s="10">
        <v>-8001.58</v>
      </c>
      <c r="E66" s="10">
        <v>-6000</v>
      </c>
      <c r="F66" s="10"/>
      <c r="G66" s="10">
        <v>-33528</v>
      </c>
      <c r="H66" s="10"/>
      <c r="I66" s="25">
        <v>-27710</v>
      </c>
      <c r="K66" t="s">
        <v>84</v>
      </c>
      <c r="O66" s="54" t="s">
        <v>85</v>
      </c>
    </row>
    <row r="67" spans="1:15" x14ac:dyDescent="0.25">
      <c r="A67" s="24" t="str">
        <f>"4120"</f>
        <v>4120</v>
      </c>
      <c r="B67" s="5" t="str">
        <f>"Kostnad ungdomsverksamhet"</f>
        <v>Kostnad ungdomsverksamhet</v>
      </c>
      <c r="C67" s="40">
        <v>-8000</v>
      </c>
      <c r="D67" s="10">
        <v>-17468</v>
      </c>
      <c r="E67" s="10">
        <v>-2500</v>
      </c>
      <c r="F67" s="10"/>
      <c r="G67" s="10">
        <v>-3600</v>
      </c>
      <c r="H67" s="10"/>
      <c r="I67" s="25">
        <v>-4000</v>
      </c>
    </row>
    <row r="68" spans="1:15" x14ac:dyDescent="0.25">
      <c r="A68" s="24" t="str">
        <f>"4210"</f>
        <v>4210</v>
      </c>
      <c r="B68" s="5" t="str">
        <f>"Kostnad styrketräning"</f>
        <v>Kostnad styrketräning</v>
      </c>
      <c r="C68" s="40">
        <v>0</v>
      </c>
      <c r="D68" s="10">
        <v>0</v>
      </c>
      <c r="E68" s="10">
        <v>-4000</v>
      </c>
      <c r="F68" s="10"/>
      <c r="G68" s="10">
        <v>-1206</v>
      </c>
      <c r="H68" s="10"/>
      <c r="I68" s="25">
        <v>-950</v>
      </c>
    </row>
    <row r="69" spans="1:15" x14ac:dyDescent="0.25">
      <c r="A69" s="24" t="str">
        <f>"4220"</f>
        <v>4220</v>
      </c>
      <c r="B69" s="5" t="str">
        <f>"Nyanskaffning av kanoter och material"</f>
        <v>Nyanskaffning av kanoter och material</v>
      </c>
      <c r="C69" s="49">
        <v>-22000</v>
      </c>
      <c r="D69" s="10">
        <v>-92241.06</v>
      </c>
      <c r="E69" s="10">
        <v>-5000</v>
      </c>
      <c r="F69" s="10"/>
      <c r="G69" s="10">
        <v>0</v>
      </c>
      <c r="H69" s="10"/>
      <c r="I69" s="25">
        <v>-92903.73</v>
      </c>
      <c r="K69" t="s">
        <v>86</v>
      </c>
    </row>
    <row r="70" spans="1:15" x14ac:dyDescent="0.25">
      <c r="A70" s="24" t="str">
        <f>"4410"</f>
        <v>4410</v>
      </c>
      <c r="B70" s="5" t="str">
        <f>"Utgifter Skåneregattan"</f>
        <v>Utgifter Skåneregattan</v>
      </c>
      <c r="C70" s="40">
        <v>0</v>
      </c>
      <c r="D70" s="10">
        <v>-1141.8</v>
      </c>
      <c r="E70" s="10">
        <v>0</v>
      </c>
      <c r="F70" s="10"/>
      <c r="G70" s="10">
        <v>-56952</v>
      </c>
      <c r="H70" s="10"/>
      <c r="I70" s="25">
        <v>-63783.47</v>
      </c>
    </row>
    <row r="71" spans="1:15" x14ac:dyDescent="0.25">
      <c r="A71" s="24" t="str">
        <f>"4610"</f>
        <v>4610</v>
      </c>
      <c r="B71" s="5" t="str">
        <f>"Mötesverksamhet"</f>
        <v>Mötesverksamhet</v>
      </c>
      <c r="C71" s="40">
        <v>-9000</v>
      </c>
      <c r="D71" s="10">
        <v>-10973.5</v>
      </c>
      <c r="E71" s="10">
        <v>-8000</v>
      </c>
      <c r="F71" s="10"/>
      <c r="G71" s="10">
        <v>-7874.43</v>
      </c>
      <c r="H71" s="10"/>
      <c r="I71" s="25">
        <v>-7408</v>
      </c>
    </row>
    <row r="72" spans="1:15" x14ac:dyDescent="0.25">
      <c r="A72" s="24" t="str">
        <f>"4710"</f>
        <v>4710</v>
      </c>
      <c r="B72" s="5" t="str">
        <f>"Märken och priser"</f>
        <v>Märken och priser</v>
      </c>
      <c r="C72" s="40">
        <v>-3000</v>
      </c>
      <c r="D72" s="10">
        <v>-2967</v>
      </c>
      <c r="E72" s="10">
        <v>-5000</v>
      </c>
      <c r="F72" s="10"/>
      <c r="G72" s="10">
        <v>-4387</v>
      </c>
      <c r="H72" s="10"/>
      <c r="I72" s="25">
        <v>-3760.9</v>
      </c>
    </row>
    <row r="73" spans="1:15" x14ac:dyDescent="0.25">
      <c r="A73" s="24" t="str">
        <f>"4800"</f>
        <v>4800</v>
      </c>
      <c r="B73" s="5" t="str">
        <f>"Medlemmarnas pengar"</f>
        <v>Medlemmarnas pengar</v>
      </c>
      <c r="C73" s="40">
        <v>0</v>
      </c>
      <c r="D73" s="10">
        <v>-10691</v>
      </c>
      <c r="E73" s="10">
        <v>0</v>
      </c>
      <c r="F73" s="10"/>
      <c r="G73" s="10">
        <v>-10035</v>
      </c>
      <c r="H73" s="10"/>
      <c r="I73" s="25">
        <v>-21634</v>
      </c>
    </row>
    <row r="74" spans="1:15" x14ac:dyDescent="0.25">
      <c r="A74" s="26"/>
      <c r="B74" s="6"/>
      <c r="C74" s="40"/>
      <c r="D74" s="10"/>
      <c r="E74" s="10"/>
      <c r="F74" s="10"/>
      <c r="G74" s="10"/>
      <c r="H74" s="10"/>
      <c r="I74" s="23"/>
    </row>
    <row r="75" spans="1:15" s="1" customFormat="1" ht="15.75" thickBot="1" x14ac:dyDescent="0.3">
      <c r="A75" s="27" t="str">
        <f>"S:a Råvaror och förnödenheter mm"</f>
        <v>S:a Råvaror och förnödenheter mm</v>
      </c>
      <c r="B75" s="14"/>
      <c r="C75" s="48">
        <f>SUM(C57:C74)</f>
        <v>-159600</v>
      </c>
      <c r="D75" s="28">
        <f>SUM(D57:D74)</f>
        <v>-276468.43999999994</v>
      </c>
      <c r="E75" s="28">
        <f>SUM(E57:E74)</f>
        <v>-152500</v>
      </c>
      <c r="F75" s="28"/>
      <c r="G75" s="28">
        <f>SUM(G57:G74)</f>
        <v>-203247.77</v>
      </c>
      <c r="H75" s="28"/>
      <c r="I75" s="29">
        <f>SUM(I57:I73)</f>
        <v>-359470.9</v>
      </c>
    </row>
    <row r="76" spans="1:15" x14ac:dyDescent="0.25">
      <c r="A76" s="19"/>
      <c r="B76" s="20"/>
      <c r="C76" s="41"/>
      <c r="D76" s="30"/>
      <c r="E76" s="30"/>
      <c r="F76" s="30"/>
      <c r="G76" s="30"/>
      <c r="H76" s="30"/>
      <c r="I76" s="31"/>
    </row>
    <row r="77" spans="1:15" x14ac:dyDescent="0.25">
      <c r="A77" s="26"/>
      <c r="B77" s="6"/>
      <c r="C77" s="40"/>
      <c r="D77" s="10"/>
      <c r="E77" s="10"/>
      <c r="F77" s="10"/>
      <c r="G77" s="10"/>
      <c r="H77" s="10"/>
      <c r="I77" s="25"/>
    </row>
    <row r="78" spans="1:15" s="1" customFormat="1" ht="15.75" thickBot="1" x14ac:dyDescent="0.3">
      <c r="A78" s="27" t="str">
        <f>"Bruttovinst"</f>
        <v>Bruttovinst</v>
      </c>
      <c r="B78" s="14"/>
      <c r="C78" s="34">
        <f>C53+C75</f>
        <v>191900</v>
      </c>
      <c r="D78" s="28">
        <f>D53+D75</f>
        <v>261931.58000000007</v>
      </c>
      <c r="E78" s="28">
        <f>E53+E75</f>
        <v>193500</v>
      </c>
      <c r="F78" s="28"/>
      <c r="G78" s="28">
        <f>G53+G75</f>
        <v>143519.88999999998</v>
      </c>
      <c r="H78" s="28"/>
      <c r="I78" s="28">
        <f>I53+I75</f>
        <v>105263.79999999999</v>
      </c>
    </row>
    <row r="79" spans="1:15" x14ac:dyDescent="0.25">
      <c r="A79" s="19"/>
      <c r="B79" s="20"/>
      <c r="C79" s="41"/>
      <c r="D79" s="30"/>
      <c r="E79" s="30"/>
      <c r="F79" s="30"/>
      <c r="G79" s="30"/>
      <c r="H79" s="30"/>
      <c r="I79" s="31"/>
    </row>
    <row r="80" spans="1:15" x14ac:dyDescent="0.25">
      <c r="A80" s="22" t="str">
        <f>"Övriga externa kostnader"</f>
        <v>Övriga externa kostnader</v>
      </c>
      <c r="B80" s="6"/>
      <c r="C80" s="40"/>
      <c r="D80" s="10"/>
      <c r="E80" s="10"/>
      <c r="F80" s="10"/>
      <c r="G80" s="10"/>
      <c r="H80" s="10"/>
      <c r="I80" s="25"/>
    </row>
    <row r="81" spans="1:11" x14ac:dyDescent="0.25">
      <c r="A81" s="24" t="str">
        <f>"5110"</f>
        <v>5110</v>
      </c>
      <c r="B81" s="5" t="str">
        <f>"Arrende"</f>
        <v>Arrende</v>
      </c>
      <c r="C81" s="40">
        <v>-1600</v>
      </c>
      <c r="D81" s="10">
        <v>-1579</v>
      </c>
      <c r="E81" s="10">
        <v>-1600</v>
      </c>
      <c r="F81" s="10"/>
      <c r="G81" s="10">
        <v>-1597</v>
      </c>
      <c r="H81" s="10"/>
      <c r="I81" s="25">
        <v>-1534</v>
      </c>
    </row>
    <row r="82" spans="1:11" x14ac:dyDescent="0.25">
      <c r="A82" s="24" t="str">
        <f>"5120"</f>
        <v>5120</v>
      </c>
      <c r="B82" s="5" t="str">
        <f>"Elektricitet"</f>
        <v>Elektricitet</v>
      </c>
      <c r="C82" s="40">
        <v>-25000</v>
      </c>
      <c r="D82" s="10">
        <v>-28561</v>
      </c>
      <c r="E82" s="10">
        <v>-24000</v>
      </c>
      <c r="F82" s="10"/>
      <c r="G82" s="10">
        <v>-26956</v>
      </c>
      <c r="H82" s="10"/>
      <c r="I82" s="25">
        <v>-24956</v>
      </c>
    </row>
    <row r="83" spans="1:11" x14ac:dyDescent="0.25">
      <c r="A83" s="24" t="str">
        <f>"5140"</f>
        <v>5140</v>
      </c>
      <c r="B83" s="5" t="str">
        <f>"Vatten och sophämtning"</f>
        <v>Vatten och sophämtning</v>
      </c>
      <c r="C83" s="40">
        <v>-6000</v>
      </c>
      <c r="D83" s="10">
        <v>-5798</v>
      </c>
      <c r="E83" s="10">
        <v>-9000</v>
      </c>
      <c r="F83" s="10"/>
      <c r="G83" s="10">
        <v>-9965</v>
      </c>
      <c r="H83" s="10"/>
      <c r="I83" s="25">
        <v>-5594</v>
      </c>
    </row>
    <row r="84" spans="1:11" x14ac:dyDescent="0.25">
      <c r="A84" s="24" t="str">
        <f>"5170"</f>
        <v>5170</v>
      </c>
      <c r="B84" s="5" t="str">
        <f>"Fastighetsunderhåll"</f>
        <v>Fastighetsunderhåll</v>
      </c>
      <c r="C84" s="40">
        <v>-60000</v>
      </c>
      <c r="D84" s="10">
        <v>-15856</v>
      </c>
      <c r="E84" s="10">
        <v>-35000</v>
      </c>
      <c r="F84" s="10"/>
      <c r="G84" s="10">
        <v>-2568</v>
      </c>
      <c r="H84" s="10"/>
      <c r="I84" s="25">
        <v>-1744</v>
      </c>
      <c r="K84" t="s">
        <v>87</v>
      </c>
    </row>
    <row r="85" spans="1:11" x14ac:dyDescent="0.25">
      <c r="A85" s="24"/>
      <c r="B85" s="5"/>
      <c r="C85" s="40"/>
      <c r="D85" s="10"/>
      <c r="E85" s="10"/>
      <c r="F85" s="10"/>
      <c r="G85" s="10">
        <v>-101131.15</v>
      </c>
      <c r="H85" s="10"/>
      <c r="I85" s="25"/>
    </row>
    <row r="86" spans="1:11" x14ac:dyDescent="0.25">
      <c r="A86" s="24" t="str">
        <f>"5410"</f>
        <v>5410</v>
      </c>
      <c r="B86" s="5" t="str">
        <f>"Förbrukningsinventarier"</f>
        <v>Förbrukningsinventarier</v>
      </c>
      <c r="C86" s="40">
        <v>-2000</v>
      </c>
      <c r="D86" s="10">
        <v>-3232.52</v>
      </c>
      <c r="E86" s="10">
        <v>-2000</v>
      </c>
      <c r="F86" s="10"/>
      <c r="G86" s="10">
        <v>-106</v>
      </c>
      <c r="H86" s="10"/>
      <c r="I86" s="25">
        <v>-2819.41</v>
      </c>
    </row>
    <row r="87" spans="1:11" x14ac:dyDescent="0.25">
      <c r="A87" s="24" t="str">
        <f>"5420"</f>
        <v>5420</v>
      </c>
      <c r="B87" s="5" t="str">
        <f>"Programvaror"</f>
        <v>Programvaror</v>
      </c>
      <c r="C87" s="40">
        <v>-1000</v>
      </c>
      <c r="D87" s="10">
        <v>-1030</v>
      </c>
      <c r="E87" s="10">
        <v>0</v>
      </c>
      <c r="F87" s="10"/>
      <c r="G87" s="10">
        <v>-109</v>
      </c>
      <c r="H87" s="10"/>
      <c r="I87" s="25">
        <v>-1278</v>
      </c>
    </row>
    <row r="88" spans="1:11" x14ac:dyDescent="0.25">
      <c r="A88" s="24" t="str">
        <f>"5500"</f>
        <v>5500</v>
      </c>
      <c r="B88" s="5" t="str">
        <f>"Kanotunderhåll"</f>
        <v>Kanotunderhåll</v>
      </c>
      <c r="C88" s="40">
        <v>-10000</v>
      </c>
      <c r="D88" s="10">
        <v>-7053.75</v>
      </c>
      <c r="E88" s="10">
        <v>-10000</v>
      </c>
      <c r="F88" s="10"/>
      <c r="G88" s="10">
        <v>-376</v>
      </c>
      <c r="H88" s="10"/>
      <c r="I88" s="25">
        <v>-2480.27</v>
      </c>
    </row>
    <row r="89" spans="1:11" x14ac:dyDescent="0.25">
      <c r="A89" s="24" t="str">
        <f>"5611"</f>
        <v>5611</v>
      </c>
      <c r="B89" s="5" t="str">
        <f>"Övrig Bensin"</f>
        <v>Övrig Bensin</v>
      </c>
      <c r="C89" s="40">
        <v>-3000</v>
      </c>
      <c r="D89" s="10">
        <v>-1083.4000000000001</v>
      </c>
      <c r="E89" s="10">
        <v>-4000</v>
      </c>
      <c r="F89" s="10"/>
      <c r="G89" s="10">
        <v>-31529</v>
      </c>
      <c r="H89" s="10"/>
      <c r="I89" s="25"/>
    </row>
    <row r="90" spans="1:11" x14ac:dyDescent="0.25">
      <c r="A90" s="24" t="str">
        <f>"5612"</f>
        <v>5612</v>
      </c>
      <c r="B90" s="5" t="str">
        <f>"Försäkring"</f>
        <v>Försäkring</v>
      </c>
      <c r="C90" s="40">
        <v>-40000</v>
      </c>
      <c r="D90" s="10">
        <v>-38130</v>
      </c>
      <c r="E90" s="10">
        <v>-32000</v>
      </c>
      <c r="F90" s="10"/>
      <c r="G90" s="10">
        <v>-5272.64</v>
      </c>
      <c r="H90" s="10"/>
      <c r="I90" s="25">
        <v>-188</v>
      </c>
    </row>
    <row r="91" spans="1:11" x14ac:dyDescent="0.25">
      <c r="A91" s="24" t="s">
        <v>52</v>
      </c>
      <c r="B91" s="5" t="s">
        <v>53</v>
      </c>
      <c r="C91" s="40"/>
      <c r="D91" s="10">
        <v>-478</v>
      </c>
      <c r="E91" s="10"/>
      <c r="F91" s="10"/>
      <c r="G91" s="10"/>
      <c r="H91" s="10"/>
      <c r="I91" s="25"/>
    </row>
    <row r="92" spans="1:11" x14ac:dyDescent="0.25">
      <c r="A92" s="24" t="str">
        <f>"5614"</f>
        <v>5614</v>
      </c>
      <c r="B92" s="5" t="str">
        <f>"Reparation och Underhåll"</f>
        <v>Reparation och Underhåll</v>
      </c>
      <c r="C92" s="40">
        <v>-5000</v>
      </c>
      <c r="D92" s="10">
        <v>-3823</v>
      </c>
      <c r="E92" s="10">
        <v>-2000</v>
      </c>
      <c r="F92" s="10"/>
      <c r="G92" s="10">
        <v>-1541</v>
      </c>
      <c r="H92" s="10"/>
      <c r="I92" s="25">
        <v>-536</v>
      </c>
    </row>
    <row r="93" spans="1:11" x14ac:dyDescent="0.25">
      <c r="A93" s="24" t="str">
        <f>"5620"</f>
        <v>5620</v>
      </c>
      <c r="B93" s="5" t="str">
        <f>"Kostnader motobåt"</f>
        <v>Kostnader motobåt</v>
      </c>
      <c r="C93" s="40">
        <v>-4000</v>
      </c>
      <c r="D93" s="10">
        <v>-72</v>
      </c>
      <c r="E93" s="10">
        <v>-2000</v>
      </c>
      <c r="F93" s="10"/>
      <c r="G93" s="10">
        <v>-2684</v>
      </c>
      <c r="H93" s="10"/>
      <c r="I93" s="25">
        <v>-446.8</v>
      </c>
    </row>
    <row r="94" spans="1:11" x14ac:dyDescent="0.25">
      <c r="A94" s="24" t="s">
        <v>55</v>
      </c>
      <c r="B94" s="5" t="s">
        <v>56</v>
      </c>
      <c r="C94" s="40"/>
      <c r="D94" s="10">
        <v>-40000</v>
      </c>
      <c r="E94" s="10"/>
      <c r="F94" s="10"/>
      <c r="G94" s="10"/>
      <c r="H94" s="10"/>
      <c r="I94" s="25"/>
    </row>
    <row r="95" spans="1:11" x14ac:dyDescent="0.25">
      <c r="A95" s="24" t="str">
        <f>"6110"</f>
        <v>6110</v>
      </c>
      <c r="B95" s="5" t="str">
        <f>"Kontorsmaterial"</f>
        <v>Kontorsmaterial</v>
      </c>
      <c r="C95" s="40">
        <v>-1000</v>
      </c>
      <c r="D95" s="10">
        <v>-3241</v>
      </c>
      <c r="E95" s="10">
        <v>-1000</v>
      </c>
      <c r="F95" s="10"/>
      <c r="G95" s="10">
        <v>-4026.37</v>
      </c>
      <c r="H95" s="10"/>
      <c r="I95" s="25">
        <v>-3042</v>
      </c>
    </row>
    <row r="96" spans="1:11" x14ac:dyDescent="0.25">
      <c r="A96" s="24" t="str">
        <f>"6210"</f>
        <v>6210</v>
      </c>
      <c r="B96" s="5" t="str">
        <f>"Telefon"</f>
        <v>Telefon</v>
      </c>
      <c r="C96" s="40">
        <v>-2000</v>
      </c>
      <c r="D96" s="10">
        <v>-2206</v>
      </c>
      <c r="E96" s="10">
        <v>-2600</v>
      </c>
      <c r="F96" s="10"/>
      <c r="G96" s="10">
        <v>-270</v>
      </c>
      <c r="H96" s="10"/>
      <c r="I96" s="25">
        <v>-86</v>
      </c>
    </row>
    <row r="97" spans="1:15" x14ac:dyDescent="0.25">
      <c r="A97" s="24" t="str">
        <f>"6250"</f>
        <v>6250</v>
      </c>
      <c r="B97" s="5" t="str">
        <f>"Porto"</f>
        <v>Porto</v>
      </c>
      <c r="C97" s="40">
        <v>-300</v>
      </c>
      <c r="D97" s="10">
        <v>0</v>
      </c>
      <c r="E97" s="10">
        <v>-300</v>
      </c>
      <c r="F97" s="10"/>
      <c r="G97" s="10">
        <v>0</v>
      </c>
      <c r="H97" s="10"/>
      <c r="I97" s="25">
        <v>-25045</v>
      </c>
    </row>
    <row r="98" spans="1:15" x14ac:dyDescent="0.25">
      <c r="A98" s="24" t="str">
        <f>"6570"</f>
        <v>6570</v>
      </c>
      <c r="B98" s="5" t="str">
        <f>"Bankkostnader"</f>
        <v>Bankkostnader</v>
      </c>
      <c r="C98" s="40">
        <v>-4000</v>
      </c>
      <c r="D98" s="10">
        <v>-3287.5</v>
      </c>
      <c r="E98" s="10">
        <v>-3000</v>
      </c>
      <c r="F98" s="10"/>
      <c r="G98" s="10">
        <v>-1981.5</v>
      </c>
      <c r="H98" s="10"/>
      <c r="I98" s="25"/>
    </row>
    <row r="99" spans="1:15" x14ac:dyDescent="0.25">
      <c r="A99" s="24" t="str">
        <f>"6980"</f>
        <v>6980</v>
      </c>
      <c r="B99" s="5" t="str">
        <f>"Föreningsavgift /Licenser"</f>
        <v>Föreningsavgift /Licenser</v>
      </c>
      <c r="C99" s="40">
        <v>-5000</v>
      </c>
      <c r="D99" s="10">
        <v>-2170</v>
      </c>
      <c r="E99" s="10">
        <v>-5000</v>
      </c>
      <c r="F99" s="10"/>
      <c r="G99" s="10">
        <v>-4577</v>
      </c>
      <c r="H99" s="10"/>
      <c r="I99" s="25">
        <v>-5575</v>
      </c>
      <c r="O99" s="54" t="s">
        <v>88</v>
      </c>
    </row>
    <row r="100" spans="1:15" x14ac:dyDescent="0.25">
      <c r="A100" s="24" t="str">
        <f>"6990"</f>
        <v>6990</v>
      </c>
      <c r="B100" s="5" t="str">
        <f>"Övriga Kostnader"</f>
        <v>Övriga Kostnader</v>
      </c>
      <c r="C100" s="40">
        <v>-5000</v>
      </c>
      <c r="D100" s="10">
        <v>-3260.33</v>
      </c>
      <c r="E100" s="10">
        <v>-10000</v>
      </c>
      <c r="F100" s="10"/>
      <c r="G100" s="10">
        <v>-20072.3</v>
      </c>
      <c r="H100" s="10"/>
      <c r="I100" s="25">
        <v>-23995.78</v>
      </c>
    </row>
    <row r="101" spans="1:15" x14ac:dyDescent="0.25">
      <c r="A101" s="24" t="str">
        <f>"6991"</f>
        <v>6991</v>
      </c>
      <c r="B101" s="5" t="str">
        <f>"Container"</f>
        <v>Container</v>
      </c>
      <c r="C101" s="40">
        <v>0</v>
      </c>
      <c r="D101" s="10">
        <v>0</v>
      </c>
      <c r="E101" s="10">
        <v>-1000</v>
      </c>
      <c r="F101" s="10"/>
      <c r="G101" s="10">
        <v>-5562.5</v>
      </c>
      <c r="H101" s="10"/>
      <c r="I101" s="25">
        <v>-17500</v>
      </c>
    </row>
    <row r="102" spans="1:15" x14ac:dyDescent="0.25">
      <c r="A102" s="26"/>
      <c r="B102" s="6"/>
      <c r="C102" s="40"/>
      <c r="D102" s="10"/>
      <c r="E102" s="10"/>
      <c r="F102" s="10"/>
      <c r="G102" s="10"/>
      <c r="H102" s="10"/>
      <c r="I102" s="25"/>
    </row>
    <row r="103" spans="1:15" s="1" customFormat="1" ht="15.75" thickBot="1" x14ac:dyDescent="0.3">
      <c r="A103" s="27" t="str">
        <f>"S:a Övriga externa kostnader"</f>
        <v>S:a Övriga externa kostnader</v>
      </c>
      <c r="B103" s="14"/>
      <c r="C103" s="48">
        <f>SUM(C81:C102)</f>
        <v>-174900</v>
      </c>
      <c r="D103" s="28">
        <f>SUM(D81:D102)</f>
        <v>-160861.49999999997</v>
      </c>
      <c r="E103" s="28">
        <f>SUM(E81:E102)</f>
        <v>-144500</v>
      </c>
      <c r="F103" s="28"/>
      <c r="G103" s="28">
        <f>SUM(G81:G102)</f>
        <v>-220324.46</v>
      </c>
      <c r="H103" s="28"/>
      <c r="I103" s="29">
        <f>SUM(I81:I102)</f>
        <v>-116820.26000000001</v>
      </c>
    </row>
    <row r="104" spans="1:15" x14ac:dyDescent="0.25">
      <c r="A104" s="19"/>
      <c r="B104" s="20"/>
      <c r="C104" s="41"/>
      <c r="D104" s="30"/>
      <c r="E104" s="30"/>
      <c r="F104" s="30"/>
      <c r="G104" s="30"/>
      <c r="H104" s="30"/>
      <c r="I104" s="31"/>
    </row>
    <row r="105" spans="1:15" x14ac:dyDescent="0.25">
      <c r="A105" s="22" t="str">
        <f>"Personalkostnader"</f>
        <v>Personalkostnader</v>
      </c>
      <c r="B105" s="6"/>
      <c r="C105" s="40"/>
      <c r="D105" s="10"/>
      <c r="E105" s="10"/>
      <c r="F105" s="10"/>
      <c r="G105" s="10"/>
      <c r="H105" s="10"/>
      <c r="I105" s="25"/>
    </row>
    <row r="106" spans="1:15" x14ac:dyDescent="0.25">
      <c r="A106" s="24" t="str">
        <f>"7110"</f>
        <v>7110</v>
      </c>
      <c r="B106" s="5" t="str">
        <f>"Träningsbidrag"</f>
        <v>Träningsbidrag</v>
      </c>
      <c r="C106" s="40">
        <v>-10000</v>
      </c>
      <c r="D106" s="10">
        <v>0</v>
      </c>
      <c r="E106" s="10">
        <v>-10000</v>
      </c>
      <c r="F106" s="10"/>
      <c r="G106" s="10">
        <v>-2253</v>
      </c>
      <c r="H106" s="10"/>
      <c r="I106" s="25">
        <v>0</v>
      </c>
    </row>
    <row r="107" spans="1:15" x14ac:dyDescent="0.25">
      <c r="A107" s="24" t="str">
        <f>"7210"</f>
        <v>7210</v>
      </c>
      <c r="B107" s="5" t="str">
        <f>"Resekostnads ersättning"</f>
        <v>Resekostnads ersättning</v>
      </c>
      <c r="C107" s="40">
        <v>-2000</v>
      </c>
      <c r="D107" s="10">
        <v>0</v>
      </c>
      <c r="E107" s="10">
        <v>-4000</v>
      </c>
      <c r="F107" s="10"/>
      <c r="G107" s="10">
        <v>-11174.4</v>
      </c>
      <c r="H107" s="10"/>
      <c r="I107" s="25">
        <v>0</v>
      </c>
    </row>
    <row r="108" spans="1:15" x14ac:dyDescent="0.25">
      <c r="A108" s="24" t="str">
        <f>"7610"</f>
        <v>7610</v>
      </c>
      <c r="B108" s="5" t="str">
        <f>"Utbildning"</f>
        <v>Utbildning</v>
      </c>
      <c r="C108" s="40">
        <v>-5000</v>
      </c>
      <c r="D108" s="10">
        <v>-6600</v>
      </c>
      <c r="E108" s="10">
        <v>-5000</v>
      </c>
      <c r="F108" s="10"/>
      <c r="G108" s="10">
        <v>-9105</v>
      </c>
      <c r="H108" s="10"/>
      <c r="I108" s="25">
        <v>0</v>
      </c>
    </row>
    <row r="109" spans="1:15" x14ac:dyDescent="0.25">
      <c r="A109" s="26"/>
      <c r="B109" s="6"/>
      <c r="C109" s="40"/>
      <c r="D109" s="10"/>
      <c r="E109" s="10"/>
      <c r="F109" s="10"/>
      <c r="G109" s="10"/>
      <c r="H109" s="10"/>
      <c r="I109" s="25"/>
    </row>
    <row r="110" spans="1:15" s="1" customFormat="1" ht="15.75" thickBot="1" x14ac:dyDescent="0.3">
      <c r="A110" s="27" t="str">
        <f>"S:a Personalkostnader"</f>
        <v>S:a Personalkostnader</v>
      </c>
      <c r="B110" s="14"/>
      <c r="C110" s="48">
        <f>SUM(C106:C109)</f>
        <v>-17000</v>
      </c>
      <c r="D110" s="28">
        <f>SUM(D106:D109)</f>
        <v>-6600</v>
      </c>
      <c r="E110" s="28">
        <f>SUM(E106:E109)</f>
        <v>-19000</v>
      </c>
      <c r="F110" s="28"/>
      <c r="G110" s="28">
        <f>SUM(G106:G109)</f>
        <v>-22532.400000000001</v>
      </c>
      <c r="H110" s="28"/>
      <c r="I110" s="29">
        <f>SUM(I106:I109)</f>
        <v>0</v>
      </c>
    </row>
    <row r="111" spans="1:15" x14ac:dyDescent="0.25">
      <c r="A111" s="19"/>
      <c r="B111" s="20"/>
      <c r="C111" s="41"/>
      <c r="D111" s="30"/>
      <c r="E111" s="30"/>
      <c r="F111" s="30"/>
      <c r="G111" s="30"/>
      <c r="H111" s="30"/>
      <c r="I111" s="31"/>
    </row>
    <row r="112" spans="1:15" x14ac:dyDescent="0.25">
      <c r="A112" s="26"/>
      <c r="B112" s="6"/>
      <c r="C112" s="40"/>
      <c r="D112" s="10"/>
      <c r="E112" s="10"/>
      <c r="F112" s="10"/>
      <c r="G112" s="10"/>
      <c r="H112" s="10"/>
      <c r="I112" s="25"/>
    </row>
    <row r="113" spans="1:60" s="2" customFormat="1" ht="15.75" thickBot="1" x14ac:dyDescent="0.3">
      <c r="A113" s="32" t="str">
        <f>"S:a Rörelsens kostnader inkl råvaror mm"</f>
        <v>S:a Rörelsens kostnader inkl råvaror mm</v>
      </c>
      <c r="B113" s="33"/>
      <c r="C113" s="48">
        <f>C75+C103+C110</f>
        <v>-351500</v>
      </c>
      <c r="D113" s="34">
        <f>D75+D103+D110</f>
        <v>-443929.93999999994</v>
      </c>
      <c r="E113" s="34">
        <f>E75+E103+E110</f>
        <v>-316000</v>
      </c>
      <c r="F113" s="34"/>
      <c r="G113" s="34">
        <f>G75+G103+G110</f>
        <v>-446104.63</v>
      </c>
      <c r="H113" s="34"/>
      <c r="I113" s="35">
        <f>I75+I103+I110</f>
        <v>-476291.16000000003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1:60" s="2" customFormat="1" x14ac:dyDescent="0.25">
      <c r="A114" s="51"/>
      <c r="B114" s="17"/>
      <c r="C114" s="50"/>
      <c r="D114" s="52"/>
      <c r="E114" s="52"/>
      <c r="F114" s="52"/>
      <c r="G114" s="52"/>
      <c r="H114" s="52"/>
      <c r="I114" s="5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1:60" s="2" customFormat="1" x14ac:dyDescent="0.25">
      <c r="A115" s="51" t="s">
        <v>59</v>
      </c>
      <c r="B115" s="17" t="s">
        <v>60</v>
      </c>
      <c r="C115" s="50"/>
      <c r="D115" s="52">
        <v>310.37</v>
      </c>
      <c r="E115" s="52"/>
      <c r="F115" s="52"/>
      <c r="G115" s="52"/>
      <c r="H115" s="52"/>
      <c r="I115" s="5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x14ac:dyDescent="0.25">
      <c r="A116" s="26"/>
      <c r="B116" s="6"/>
      <c r="C116" s="40"/>
      <c r="D116" s="10"/>
      <c r="E116" s="10"/>
      <c r="F116" s="10"/>
      <c r="G116" s="10"/>
      <c r="H116" s="10"/>
      <c r="I116" s="25"/>
    </row>
    <row r="117" spans="1:60" s="3" customFormat="1" x14ac:dyDescent="0.25">
      <c r="A117" s="36" t="str">
        <f>"Beräknat resultat"</f>
        <v>Beräknat resultat</v>
      </c>
      <c r="B117" s="12"/>
      <c r="C117" s="13">
        <f>C53+C113+C115</f>
        <v>0</v>
      </c>
      <c r="D117" s="13">
        <f>D53+D113+D115</f>
        <v>94780.45000000007</v>
      </c>
      <c r="E117" s="13">
        <f>E53+E113+E115</f>
        <v>30000</v>
      </c>
      <c r="F117" s="13"/>
      <c r="G117" s="13">
        <f>G53+G113+G115</f>
        <v>-99336.97000000003</v>
      </c>
      <c r="H117" s="13"/>
      <c r="I117" s="13">
        <f>I53+I113+I115</f>
        <v>-11556.460000000021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1:60" ht="15.75" thickBot="1" x14ac:dyDescent="0.3">
      <c r="A118" s="37"/>
      <c r="B118" s="15"/>
      <c r="C118" s="42"/>
      <c r="D118" s="15"/>
      <c r="E118" s="15"/>
      <c r="F118" s="15"/>
      <c r="G118" s="15"/>
      <c r="H118" s="15"/>
      <c r="I118" s="38"/>
    </row>
    <row r="119" spans="1:60" x14ac:dyDescent="0.25">
      <c r="C119" s="4"/>
      <c r="D119" s="46"/>
    </row>
    <row r="120" spans="1:60" x14ac:dyDescent="0.25">
      <c r="C120" s="4"/>
    </row>
    <row r="121" spans="1:60" x14ac:dyDescent="0.25">
      <c r="C121" s="4"/>
    </row>
    <row r="122" spans="1:60" x14ac:dyDescent="0.25">
      <c r="C122" s="4"/>
    </row>
    <row r="123" spans="1:60" x14ac:dyDescent="0.25">
      <c r="C123" s="4"/>
    </row>
    <row r="124" spans="1:60" x14ac:dyDescent="0.25">
      <c r="C124" s="4"/>
    </row>
    <row r="125" spans="1:60" x14ac:dyDescent="0.25">
      <c r="C125" s="4"/>
    </row>
    <row r="126" spans="1:60" x14ac:dyDescent="0.25">
      <c r="C126" s="4"/>
    </row>
    <row r="127" spans="1:60" x14ac:dyDescent="0.25">
      <c r="C127" s="4"/>
    </row>
    <row r="128" spans="1:60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  <row r="132" spans="3:3" x14ac:dyDescent="0.25">
      <c r="C132" s="4"/>
    </row>
    <row r="133" spans="3:3" x14ac:dyDescent="0.25">
      <c r="C133" s="4"/>
    </row>
    <row r="134" spans="3:3" x14ac:dyDescent="0.25">
      <c r="C134" s="4"/>
    </row>
    <row r="135" spans="3:3" x14ac:dyDescent="0.25">
      <c r="C135" s="4"/>
    </row>
    <row r="136" spans="3:3" x14ac:dyDescent="0.25">
      <c r="C136" s="4"/>
    </row>
    <row r="137" spans="3:3" x14ac:dyDescent="0.25">
      <c r="C137" s="4"/>
    </row>
    <row r="138" spans="3:3" x14ac:dyDescent="0.25">
      <c r="C138" s="4"/>
    </row>
    <row r="139" spans="3:3" x14ac:dyDescent="0.25">
      <c r="C139" s="4"/>
    </row>
    <row r="140" spans="3:3" x14ac:dyDescent="0.25">
      <c r="C140" s="4"/>
    </row>
    <row r="141" spans="3:3" x14ac:dyDescent="0.25">
      <c r="C141" s="4"/>
    </row>
    <row r="142" spans="3:3" x14ac:dyDescent="0.25">
      <c r="C142" s="4"/>
    </row>
    <row r="143" spans="3:3" x14ac:dyDescent="0.25">
      <c r="C143" s="4"/>
    </row>
    <row r="144" spans="3:3" x14ac:dyDescent="0.25">
      <c r="C144" s="4"/>
    </row>
    <row r="145" spans="3:3" x14ac:dyDescent="0.25">
      <c r="C145" s="4"/>
    </row>
    <row r="146" spans="3:3" x14ac:dyDescent="0.25">
      <c r="C146" s="4"/>
    </row>
    <row r="147" spans="3:3" x14ac:dyDescent="0.25">
      <c r="C147" s="4"/>
    </row>
    <row r="148" spans="3:3" x14ac:dyDescent="0.25">
      <c r="C148" s="4"/>
    </row>
    <row r="149" spans="3:3" x14ac:dyDescent="0.25">
      <c r="C149" s="4"/>
    </row>
    <row r="150" spans="3:3" x14ac:dyDescent="0.25">
      <c r="C150" s="4"/>
    </row>
    <row r="151" spans="3:3" x14ac:dyDescent="0.25">
      <c r="C151" s="4"/>
    </row>
    <row r="152" spans="3:3" x14ac:dyDescent="0.25">
      <c r="C152" s="4"/>
    </row>
    <row r="153" spans="3:3" x14ac:dyDescent="0.25">
      <c r="C153" s="4"/>
    </row>
    <row r="154" spans="3:3" x14ac:dyDescent="0.25">
      <c r="C154" s="4"/>
    </row>
    <row r="155" spans="3:3" x14ac:dyDescent="0.25">
      <c r="C155" s="4"/>
    </row>
    <row r="156" spans="3:3" x14ac:dyDescent="0.25">
      <c r="C156" s="4"/>
    </row>
    <row r="157" spans="3:3" x14ac:dyDescent="0.25">
      <c r="C157" s="4"/>
    </row>
    <row r="158" spans="3:3" x14ac:dyDescent="0.25">
      <c r="C158" s="4"/>
    </row>
    <row r="159" spans="3:3" x14ac:dyDescent="0.25">
      <c r="C159" s="4"/>
    </row>
    <row r="160" spans="3:3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ht="12" customHeight="1" x14ac:dyDescent="0.25">
      <c r="C191" s="4"/>
    </row>
    <row r="192" spans="3:3" x14ac:dyDescent="0.25">
      <c r="C192" s="4"/>
    </row>
    <row r="193" spans="3:3" x14ac:dyDescent="0.25">
      <c r="C193" s="4"/>
    </row>
  </sheetData>
  <pageMargins left="0.7" right="0.7" top="0.75" bottom="0.75" header="0.3" footer="0.3"/>
  <pageSetup paperSize="9" orientation="portrait" r:id="rId1"/>
  <headerFooter>
    <oddHeader>&amp;C&amp;"Calibri"&amp;10&amp;K008000 Zeppelin: Confidential GREEN&amp;1#_x000D_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G197"/>
  <sheetViews>
    <sheetView workbookViewId="0">
      <selection activeCell="D127" sqref="D127"/>
    </sheetView>
  </sheetViews>
  <sheetFormatPr defaultRowHeight="15" x14ac:dyDescent="0.25"/>
  <cols>
    <col min="1" max="1" width="16.85546875" customWidth="1"/>
    <col min="2" max="2" width="29.7109375" customWidth="1"/>
    <col min="3" max="3" width="17.28515625" customWidth="1"/>
    <col min="4" max="5" width="13.7109375" style="4" customWidth="1"/>
    <col min="6" max="8" width="13.7109375" bestFit="1" customWidth="1"/>
    <col min="10" max="10" width="10.28515625" customWidth="1"/>
  </cols>
  <sheetData>
    <row r="1" spans="1:11" x14ac:dyDescent="0.25">
      <c r="A1" s="9" t="str">
        <f>"Sida:"</f>
        <v>Sida:</v>
      </c>
      <c r="B1" s="47">
        <v>1</v>
      </c>
      <c r="C1" s="47"/>
      <c r="D1" s="10"/>
      <c r="E1" s="10"/>
      <c r="F1" s="6"/>
      <c r="G1" s="6"/>
      <c r="H1" s="6"/>
    </row>
    <row r="2" spans="1:11" x14ac:dyDescent="0.25">
      <c r="A2" s="9" t="str">
        <f>"Utskrivet:"</f>
        <v>Utskrivet:</v>
      </c>
      <c r="B2" s="87">
        <v>40939</v>
      </c>
      <c r="C2" s="7"/>
      <c r="D2" s="10"/>
      <c r="E2" s="10"/>
      <c r="F2" s="6"/>
      <c r="G2" s="6"/>
      <c r="H2" s="6"/>
    </row>
    <row r="3" spans="1:11" x14ac:dyDescent="0.25">
      <c r="A3" s="9" t="str">
        <f>"Senaste vernr:"</f>
        <v>Senaste vernr:</v>
      </c>
      <c r="B3" s="9" t="s">
        <v>89</v>
      </c>
      <c r="C3" s="9"/>
      <c r="D3" s="10"/>
      <c r="E3" s="10"/>
      <c r="F3" s="8"/>
      <c r="G3" s="6"/>
      <c r="H3" s="6"/>
    </row>
    <row r="4" spans="1:11" x14ac:dyDescent="0.25">
      <c r="A4" s="6"/>
      <c r="B4" s="6"/>
      <c r="C4" s="58">
        <v>2012</v>
      </c>
      <c r="D4" s="71">
        <v>2011</v>
      </c>
      <c r="E4" s="58">
        <v>2011</v>
      </c>
      <c r="F4" s="58">
        <v>2010</v>
      </c>
      <c r="G4" s="58">
        <v>2009</v>
      </c>
      <c r="H4" s="58">
        <v>2008</v>
      </c>
    </row>
    <row r="5" spans="1:11" ht="15.75" thickBot="1" x14ac:dyDescent="0.3">
      <c r="A5" s="16"/>
      <c r="B5" s="16"/>
      <c r="C5" s="59" t="s">
        <v>4</v>
      </c>
      <c r="D5" s="72" t="s">
        <v>4</v>
      </c>
      <c r="E5" s="60" t="s">
        <v>5</v>
      </c>
      <c r="F5" s="61" t="s">
        <v>5</v>
      </c>
      <c r="G5" s="59" t="s">
        <v>5</v>
      </c>
      <c r="H5" s="59" t="s">
        <v>5</v>
      </c>
    </row>
    <row r="6" spans="1:11" x14ac:dyDescent="0.25">
      <c r="A6" s="19"/>
      <c r="B6" s="20"/>
      <c r="C6" s="20"/>
      <c r="D6" s="73"/>
      <c r="E6" s="30"/>
      <c r="F6" s="20"/>
      <c r="G6" s="20"/>
      <c r="H6" s="21"/>
    </row>
    <row r="7" spans="1:11" x14ac:dyDescent="0.25">
      <c r="A7" s="22" t="str">
        <f>"Rörelsens intäkter och lagerförändring"</f>
        <v>Rörelsens intäkter och lagerförändring</v>
      </c>
      <c r="B7" s="6"/>
      <c r="C7" s="6"/>
      <c r="D7" s="74"/>
      <c r="E7" s="10"/>
      <c r="F7" s="6"/>
      <c r="G7" s="6"/>
      <c r="H7" s="23"/>
    </row>
    <row r="8" spans="1:11" x14ac:dyDescent="0.25">
      <c r="A8" s="22" t="str">
        <f>"Nettoomsättning"</f>
        <v>Nettoomsättning</v>
      </c>
      <c r="B8" s="6"/>
      <c r="C8" s="6"/>
      <c r="D8" s="74"/>
      <c r="E8" s="10"/>
      <c r="F8" s="6"/>
      <c r="G8" s="6"/>
      <c r="H8" s="23"/>
    </row>
    <row r="9" spans="1:11" x14ac:dyDescent="0.25">
      <c r="A9" s="24" t="str">
        <f>"3110"</f>
        <v>3110</v>
      </c>
      <c r="B9" s="5" t="str">
        <f>"Medlemsavgifter"</f>
        <v>Medlemsavgifter</v>
      </c>
      <c r="C9" s="65">
        <v>70200</v>
      </c>
      <c r="D9" s="74">
        <v>65000</v>
      </c>
      <c r="E9" s="10">
        <v>66725</v>
      </c>
      <c r="F9" s="10">
        <v>61750</v>
      </c>
      <c r="G9" s="10">
        <v>54600</v>
      </c>
      <c r="H9" s="25">
        <v>54800</v>
      </c>
    </row>
    <row r="10" spans="1:11" x14ac:dyDescent="0.25">
      <c r="A10" s="24" t="str">
        <f>"3120"</f>
        <v>3120</v>
      </c>
      <c r="B10" s="5" t="str">
        <f>"Intäkter kanothyra"</f>
        <v>Intäkter kanothyra</v>
      </c>
      <c r="C10" s="65">
        <v>17000</v>
      </c>
      <c r="D10" s="74">
        <v>15000</v>
      </c>
      <c r="E10" s="10">
        <v>14625</v>
      </c>
      <c r="F10" s="10">
        <v>12600</v>
      </c>
      <c r="G10" s="10">
        <v>12500</v>
      </c>
      <c r="H10" s="25">
        <v>8800</v>
      </c>
    </row>
    <row r="11" spans="1:11" x14ac:dyDescent="0.25">
      <c r="A11" s="24" t="str">
        <f>"3130"</f>
        <v>3130</v>
      </c>
      <c r="B11" s="5" t="str">
        <f>"Intäkter kanotplats"</f>
        <v>Intäkter kanotplats</v>
      </c>
      <c r="C11" s="65">
        <v>15000</v>
      </c>
      <c r="D11" s="74">
        <v>16000</v>
      </c>
      <c r="E11" s="10">
        <v>14100</v>
      </c>
      <c r="F11" s="10">
        <v>16800</v>
      </c>
      <c r="G11" s="10">
        <v>14300</v>
      </c>
      <c r="H11" s="25">
        <v>14350</v>
      </c>
    </row>
    <row r="12" spans="1:11" x14ac:dyDescent="0.25">
      <c r="A12" s="24" t="str">
        <f>"3140"</f>
        <v>3140</v>
      </c>
      <c r="B12" s="5" t="str">
        <f>"Intäkter kanotskola"</f>
        <v>Intäkter kanotskola</v>
      </c>
      <c r="C12" s="65">
        <v>20000</v>
      </c>
      <c r="D12" s="74">
        <v>20000</v>
      </c>
      <c r="E12" s="10">
        <v>17400</v>
      </c>
      <c r="F12" s="10">
        <v>24600</v>
      </c>
      <c r="G12" s="10">
        <v>8550</v>
      </c>
      <c r="H12" s="25">
        <v>8250</v>
      </c>
      <c r="J12" t="s">
        <v>90</v>
      </c>
      <c r="K12" t="s">
        <v>91</v>
      </c>
    </row>
    <row r="13" spans="1:11" x14ac:dyDescent="0.25">
      <c r="A13" s="24" t="str">
        <f>"3142"</f>
        <v>3142</v>
      </c>
      <c r="B13" s="5" t="str">
        <f>"Prova-på-paddling"</f>
        <v>Prova-på-paddling</v>
      </c>
      <c r="C13" s="65">
        <v>2000</v>
      </c>
      <c r="D13" s="74">
        <v>3000</v>
      </c>
      <c r="E13" s="10">
        <v>1500</v>
      </c>
      <c r="F13" s="10">
        <v>2100</v>
      </c>
      <c r="G13" s="10">
        <v>2590</v>
      </c>
      <c r="H13" s="25"/>
    </row>
    <row r="14" spans="1:11" x14ac:dyDescent="0.25">
      <c r="A14" s="24" t="str">
        <f>"3150"</f>
        <v>3150</v>
      </c>
      <c r="B14" s="5" t="str">
        <f>"Intäkter båtplats"</f>
        <v>Intäkter båtplats</v>
      </c>
      <c r="C14" s="65">
        <v>2000</v>
      </c>
      <c r="D14" s="74">
        <v>4000</v>
      </c>
      <c r="E14" s="10">
        <v>0</v>
      </c>
      <c r="F14" s="10">
        <v>3000</v>
      </c>
      <c r="G14" s="10">
        <v>3000</v>
      </c>
      <c r="H14" s="25">
        <v>3000</v>
      </c>
    </row>
    <row r="15" spans="1:11" x14ac:dyDescent="0.25">
      <c r="A15" s="24" t="str">
        <f>"3210"</f>
        <v>3210</v>
      </c>
      <c r="B15" s="44" t="str">
        <f>"Intäkter tävling/transport"</f>
        <v>Intäkter tävling/transport</v>
      </c>
      <c r="C15" s="66"/>
      <c r="D15" s="74">
        <v>16500</v>
      </c>
      <c r="E15" s="10">
        <v>0</v>
      </c>
      <c r="F15" s="10">
        <v>0</v>
      </c>
      <c r="G15" s="10">
        <v>0</v>
      </c>
      <c r="H15" s="25"/>
    </row>
    <row r="16" spans="1:11" x14ac:dyDescent="0.25">
      <c r="A16" s="24" t="str">
        <f>"3211"</f>
        <v>3211</v>
      </c>
      <c r="B16" s="5" t="str">
        <f>"Anmälningsavgifter"</f>
        <v>Anmälningsavgifter</v>
      </c>
      <c r="C16" s="65">
        <v>12000</v>
      </c>
      <c r="D16" s="74">
        <v>0</v>
      </c>
      <c r="E16" s="10">
        <v>12360.95</v>
      </c>
      <c r="F16" s="10">
        <v>8957.94</v>
      </c>
      <c r="G16" s="10">
        <v>12290</v>
      </c>
      <c r="H16" s="25">
        <v>8840</v>
      </c>
    </row>
    <row r="17" spans="1:9" x14ac:dyDescent="0.25">
      <c r="A17" s="24" t="str">
        <f>"3212"</f>
        <v>3212</v>
      </c>
      <c r="B17" s="5" t="str">
        <f>"Transportavgift"</f>
        <v>Transportavgift</v>
      </c>
      <c r="C17" s="65"/>
      <c r="D17" s="74">
        <v>0</v>
      </c>
      <c r="E17" s="10">
        <v>2320</v>
      </c>
      <c r="F17" s="10">
        <v>4524</v>
      </c>
      <c r="G17" s="10">
        <v>5750</v>
      </c>
      <c r="H17" s="25">
        <v>2732</v>
      </c>
    </row>
    <row r="18" spans="1:9" x14ac:dyDescent="0.25">
      <c r="A18" s="24" t="str">
        <f>"3213"</f>
        <v>3213</v>
      </c>
      <c r="B18" s="5" t="str">
        <f>"Kost och logi under tävlingar"</f>
        <v>Kost och logi under tävlingar</v>
      </c>
      <c r="C18" s="65"/>
      <c r="D18" s="74">
        <v>0</v>
      </c>
      <c r="E18" s="10">
        <v>420</v>
      </c>
      <c r="F18" s="10">
        <v>1818</v>
      </c>
      <c r="G18" s="10">
        <v>2846</v>
      </c>
      <c r="H18" s="25">
        <v>3180</v>
      </c>
    </row>
    <row r="19" spans="1:9" x14ac:dyDescent="0.25">
      <c r="A19" s="24">
        <v>3214</v>
      </c>
      <c r="B19" s="6" t="s">
        <v>9</v>
      </c>
      <c r="C19" s="65"/>
      <c r="D19" s="74">
        <v>0</v>
      </c>
      <c r="E19" s="10">
        <v>1675</v>
      </c>
      <c r="F19" s="10">
        <v>1245</v>
      </c>
      <c r="G19" s="10">
        <v>1300</v>
      </c>
      <c r="H19" s="25"/>
    </row>
    <row r="20" spans="1:9" x14ac:dyDescent="0.25">
      <c r="A20" s="24" t="str">
        <f>"3220"</f>
        <v>3220</v>
      </c>
      <c r="B20" s="44" t="str">
        <f>"Intäkter läger"</f>
        <v>Intäkter läger</v>
      </c>
      <c r="C20" s="66"/>
      <c r="D20" s="74">
        <v>6000</v>
      </c>
      <c r="E20" s="10">
        <v>0</v>
      </c>
      <c r="F20" s="10">
        <v>0</v>
      </c>
      <c r="G20" s="10">
        <v>835</v>
      </c>
      <c r="H20" s="25">
        <v>23100</v>
      </c>
    </row>
    <row r="21" spans="1:9" x14ac:dyDescent="0.25">
      <c r="A21" s="24" t="str">
        <f>"3221"</f>
        <v>3221</v>
      </c>
      <c r="B21" s="5" t="s">
        <v>10</v>
      </c>
      <c r="C21" s="65">
        <v>0</v>
      </c>
      <c r="D21" s="74">
        <v>0</v>
      </c>
      <c r="E21" s="10">
        <v>10900</v>
      </c>
      <c r="F21" s="10">
        <v>6390</v>
      </c>
      <c r="G21" s="10"/>
      <c r="H21" s="25"/>
    </row>
    <row r="22" spans="1:9" x14ac:dyDescent="0.25">
      <c r="A22" s="24" t="s">
        <v>11</v>
      </c>
      <c r="B22" s="5" t="s">
        <v>12</v>
      </c>
      <c r="C22" s="65"/>
      <c r="D22" s="74">
        <v>0</v>
      </c>
      <c r="E22" s="10">
        <v>400</v>
      </c>
      <c r="F22" s="10">
        <v>0</v>
      </c>
      <c r="G22" s="10">
        <v>112</v>
      </c>
      <c r="H22" s="23"/>
    </row>
    <row r="23" spans="1:9" x14ac:dyDescent="0.25">
      <c r="A23" s="24" t="str">
        <f>"3223"</f>
        <v>3223</v>
      </c>
      <c r="B23" s="5" t="str">
        <f>"Intäkter SM läger"</f>
        <v>Intäkter SM läger</v>
      </c>
      <c r="C23" s="65">
        <v>22500</v>
      </c>
      <c r="D23" s="74">
        <v>15000</v>
      </c>
      <c r="E23" s="10">
        <v>11700</v>
      </c>
      <c r="F23" s="10">
        <v>15000</v>
      </c>
      <c r="G23" s="10">
        <v>19215</v>
      </c>
      <c r="H23" s="25">
        <v>15550</v>
      </c>
    </row>
    <row r="24" spans="1:9" x14ac:dyDescent="0.25">
      <c r="A24" s="24" t="s">
        <v>13</v>
      </c>
      <c r="B24" s="5" t="s">
        <v>14</v>
      </c>
      <c r="C24" s="65">
        <v>9000</v>
      </c>
      <c r="D24" s="74"/>
      <c r="E24" s="10"/>
      <c r="F24" s="10"/>
      <c r="G24" s="10"/>
      <c r="H24" s="25"/>
    </row>
    <row r="25" spans="1:9" x14ac:dyDescent="0.25">
      <c r="A25" s="24" t="str">
        <f>"3310"</f>
        <v>3310</v>
      </c>
      <c r="B25" s="5" t="str">
        <f>"Bingolotto"</f>
        <v>Bingolotto</v>
      </c>
      <c r="C25" s="65">
        <v>3000</v>
      </c>
      <c r="D25" s="74">
        <v>5000</v>
      </c>
      <c r="E25" s="10">
        <v>3441</v>
      </c>
      <c r="F25" s="10">
        <v>5110</v>
      </c>
      <c r="G25" s="10">
        <v>5992</v>
      </c>
      <c r="H25" s="25">
        <v>6799</v>
      </c>
    </row>
    <row r="26" spans="1:9" x14ac:dyDescent="0.25">
      <c r="A26" s="24" t="str">
        <f>"3320"</f>
        <v>3320</v>
      </c>
      <c r="B26" s="5" t="str">
        <f>"Övrig lotteriverksamhet"</f>
        <v>Övrig lotteriverksamhet</v>
      </c>
      <c r="C26" s="65">
        <v>0</v>
      </c>
      <c r="D26" s="74">
        <v>2500</v>
      </c>
      <c r="E26" s="10">
        <v>2410</v>
      </c>
      <c r="F26" s="10">
        <v>2260</v>
      </c>
      <c r="G26" s="10"/>
      <c r="H26" s="23"/>
    </row>
    <row r="27" spans="1:9" x14ac:dyDescent="0.25">
      <c r="A27" s="24" t="s">
        <v>15</v>
      </c>
      <c r="B27" s="5" t="s">
        <v>16</v>
      </c>
      <c r="C27" s="65">
        <v>0</v>
      </c>
      <c r="D27" s="74"/>
      <c r="E27" s="10"/>
      <c r="F27" s="10"/>
      <c r="G27" s="10">
        <v>22107</v>
      </c>
      <c r="H27" s="25">
        <v>65940</v>
      </c>
    </row>
    <row r="28" spans="1:9" x14ac:dyDescent="0.25">
      <c r="A28" s="24" t="str">
        <f>"3420"</f>
        <v>3420</v>
      </c>
      <c r="B28" s="5" t="str">
        <f>"Intäkter Sponsorer"</f>
        <v>Intäkter Sponsorer</v>
      </c>
      <c r="C28" s="65">
        <v>40000</v>
      </c>
      <c r="D28" s="74">
        <v>40000</v>
      </c>
      <c r="E28" s="10">
        <v>46000</v>
      </c>
      <c r="F28" s="10">
        <v>123500</v>
      </c>
      <c r="G28" s="10">
        <v>12500</v>
      </c>
      <c r="H28" s="25">
        <v>10000</v>
      </c>
      <c r="I28" t="s">
        <v>92</v>
      </c>
    </row>
    <row r="29" spans="1:9" x14ac:dyDescent="0.25">
      <c r="A29" s="24" t="str">
        <f>"3421"</f>
        <v>3421</v>
      </c>
      <c r="B29" s="5" t="s">
        <v>17</v>
      </c>
      <c r="C29" s="65">
        <v>15000</v>
      </c>
      <c r="D29" s="74"/>
      <c r="E29" s="10">
        <v>131800</v>
      </c>
      <c r="F29" s="10">
        <v>38000</v>
      </c>
      <c r="G29" s="10">
        <v>28000</v>
      </c>
      <c r="H29" s="23"/>
      <c r="I29" t="s">
        <v>93</v>
      </c>
    </row>
    <row r="30" spans="1:9" x14ac:dyDescent="0.25">
      <c r="A30" s="24" t="s">
        <v>18</v>
      </c>
      <c r="B30" s="5" t="s">
        <v>19</v>
      </c>
      <c r="C30" s="65">
        <v>0</v>
      </c>
      <c r="D30" s="74"/>
      <c r="E30" s="10">
        <v>13000</v>
      </c>
      <c r="F30" s="10"/>
      <c r="G30" s="10"/>
      <c r="H30" s="23"/>
    </row>
    <row r="31" spans="1:9" x14ac:dyDescent="0.25">
      <c r="A31" s="24" t="str">
        <f>"3430"</f>
        <v>3430</v>
      </c>
      <c r="B31" s="5" t="str">
        <f>"Intäkter föräldrarföreningen"</f>
        <v>Intäkter föräldrarföreningen</v>
      </c>
      <c r="C31" s="65">
        <v>15000</v>
      </c>
      <c r="D31" s="74">
        <v>15000</v>
      </c>
      <c r="E31" s="10">
        <v>15500</v>
      </c>
      <c r="F31" s="10">
        <v>15700.33</v>
      </c>
      <c r="G31" s="10">
        <v>0</v>
      </c>
      <c r="H31" s="25">
        <v>20000</v>
      </c>
      <c r="I31" t="s">
        <v>94</v>
      </c>
    </row>
    <row r="32" spans="1:9" x14ac:dyDescent="0.25">
      <c r="A32" s="24" t="str">
        <f>"3520"</f>
        <v>3520</v>
      </c>
      <c r="B32" s="5" t="str">
        <f>"Intäkter Kanotförsäkring"</f>
        <v>Intäkter Kanotförsäkring</v>
      </c>
      <c r="C32" s="65">
        <v>8000</v>
      </c>
      <c r="D32" s="74">
        <v>12500</v>
      </c>
      <c r="E32" s="10">
        <v>7016</v>
      </c>
      <c r="F32" s="10">
        <v>12551.33</v>
      </c>
      <c r="G32" s="10">
        <v>4850</v>
      </c>
      <c r="H32" s="25">
        <v>1188</v>
      </c>
    </row>
    <row r="33" spans="1:8" x14ac:dyDescent="0.25">
      <c r="A33" s="24" t="s">
        <v>95</v>
      </c>
      <c r="B33" s="5" t="s">
        <v>96</v>
      </c>
      <c r="C33" s="65">
        <v>0</v>
      </c>
      <c r="D33" s="74"/>
      <c r="E33" s="10">
        <v>720</v>
      </c>
      <c r="F33" s="10"/>
      <c r="G33" s="10"/>
      <c r="H33" s="25"/>
    </row>
    <row r="34" spans="1:8" x14ac:dyDescent="0.25">
      <c r="A34" s="24" t="str">
        <f>"3710"</f>
        <v>3710</v>
      </c>
      <c r="B34" s="5" t="str">
        <f>"Kommunala bidrag"</f>
        <v>Kommunala bidrag</v>
      </c>
      <c r="C34" s="65">
        <v>50000</v>
      </c>
      <c r="D34" s="74">
        <v>60000</v>
      </c>
      <c r="E34" s="10">
        <v>49944</v>
      </c>
      <c r="F34" s="10">
        <v>60337</v>
      </c>
      <c r="G34" s="10">
        <v>41591</v>
      </c>
      <c r="H34" s="25">
        <v>19324</v>
      </c>
    </row>
    <row r="35" spans="1:8" x14ac:dyDescent="0.25">
      <c r="A35" s="24" t="str">
        <f>"3730"</f>
        <v>3730</v>
      </c>
      <c r="B35" s="5" t="str">
        <f>"LOK-stöd Riksidrottsförbundet"</f>
        <v>LOK-stöd Riksidrottsförbundet</v>
      </c>
      <c r="C35" s="65">
        <v>33000</v>
      </c>
      <c r="D35" s="74">
        <v>33000</v>
      </c>
      <c r="E35" s="10">
        <v>35358.68</v>
      </c>
      <c r="F35" s="10">
        <v>33200.36</v>
      </c>
      <c r="G35" s="10">
        <v>30560.16</v>
      </c>
      <c r="H35" s="25">
        <v>35697.699999999997</v>
      </c>
    </row>
    <row r="36" spans="1:8" x14ac:dyDescent="0.25">
      <c r="A36" s="24" t="s">
        <v>22</v>
      </c>
      <c r="B36" s="5" t="s">
        <v>23</v>
      </c>
      <c r="C36" s="65">
        <v>0</v>
      </c>
      <c r="D36" s="74"/>
      <c r="E36" s="10"/>
      <c r="F36" s="10"/>
      <c r="G36" s="10">
        <v>20000</v>
      </c>
      <c r="H36" s="25"/>
    </row>
    <row r="37" spans="1:8" x14ac:dyDescent="0.25">
      <c r="A37" s="24" t="str">
        <f>"3790"</f>
        <v>3790</v>
      </c>
      <c r="B37" s="5" t="s">
        <v>97</v>
      </c>
      <c r="C37" s="65">
        <v>5000</v>
      </c>
      <c r="D37" s="74">
        <v>15000</v>
      </c>
      <c r="E37" s="10">
        <v>122</v>
      </c>
      <c r="F37" s="10">
        <v>43544</v>
      </c>
      <c r="G37" s="10">
        <v>3082.5</v>
      </c>
      <c r="H37" s="25">
        <v>80000</v>
      </c>
    </row>
    <row r="38" spans="1:8" x14ac:dyDescent="0.25">
      <c r="A38" s="26"/>
      <c r="B38" s="6"/>
      <c r="C38" s="65"/>
      <c r="D38" s="74"/>
      <c r="E38" s="10"/>
      <c r="F38" s="10"/>
      <c r="G38" s="10"/>
      <c r="H38" s="25"/>
    </row>
    <row r="39" spans="1:8" s="1" customFormat="1" ht="15.75" thickBot="1" x14ac:dyDescent="0.3">
      <c r="A39" s="27" t="str">
        <f>"S:a Nettoomsättning"</f>
        <v>S:a Nettoomsättning</v>
      </c>
      <c r="B39" s="14"/>
      <c r="C39" s="64">
        <f>SUM(C9:C37)</f>
        <v>338700</v>
      </c>
      <c r="D39" s="75">
        <f>SUM(D9:D38)</f>
        <v>343500</v>
      </c>
      <c r="E39" s="28">
        <f>SUM(E9:E38)</f>
        <v>459437.63</v>
      </c>
      <c r="F39" s="28">
        <f>SUM(F9:F38)</f>
        <v>492987.96</v>
      </c>
      <c r="G39" s="28">
        <f>SUM(G9:G38)</f>
        <v>306570.65999999997</v>
      </c>
      <c r="H39" s="29">
        <f>SUM(H9:H38)</f>
        <v>381550.7</v>
      </c>
    </row>
    <row r="40" spans="1:8" x14ac:dyDescent="0.25">
      <c r="A40" s="19"/>
      <c r="B40" s="20"/>
      <c r="C40" s="63"/>
      <c r="D40" s="73"/>
      <c r="E40" s="30"/>
      <c r="F40" s="30"/>
      <c r="G40" s="30"/>
      <c r="H40" s="31"/>
    </row>
    <row r="41" spans="1:8" x14ac:dyDescent="0.25">
      <c r="A41" s="22" t="str">
        <f>"Aktiverat arbete för egen räkning"</f>
        <v>Aktiverat arbete för egen räkning</v>
      </c>
      <c r="B41" s="6"/>
      <c r="C41" s="62"/>
      <c r="D41" s="74"/>
      <c r="E41" s="10"/>
      <c r="F41" s="10"/>
      <c r="G41" s="10"/>
      <c r="H41" s="25"/>
    </row>
    <row r="42" spans="1:8" x14ac:dyDescent="0.25">
      <c r="A42" s="24" t="s">
        <v>25</v>
      </c>
      <c r="B42" s="6" t="s">
        <v>26</v>
      </c>
      <c r="C42" s="65">
        <v>0</v>
      </c>
      <c r="D42" s="74"/>
      <c r="E42" s="10"/>
      <c r="F42" s="10">
        <v>10541.06</v>
      </c>
      <c r="G42" s="10">
        <v>10035</v>
      </c>
      <c r="H42" s="25">
        <v>21634</v>
      </c>
    </row>
    <row r="43" spans="1:8" x14ac:dyDescent="0.25">
      <c r="A43" s="24" t="str">
        <f>"3813"</f>
        <v>3813</v>
      </c>
      <c r="B43" s="5" t="str">
        <f>"Uthyrning av idrottsanläggning"</f>
        <v>Uthyrning av idrottsanläggning</v>
      </c>
      <c r="C43" s="65">
        <v>8000</v>
      </c>
      <c r="D43" s="74">
        <v>8000</v>
      </c>
      <c r="E43" s="10"/>
      <c r="F43" s="10">
        <v>8000</v>
      </c>
      <c r="G43" s="10">
        <v>8650</v>
      </c>
      <c r="H43" s="25"/>
    </row>
    <row r="44" spans="1:8" x14ac:dyDescent="0.25">
      <c r="A44" s="26"/>
      <c r="B44" s="6"/>
      <c r="C44" s="62"/>
      <c r="D44" s="74"/>
      <c r="E44" s="10"/>
      <c r="F44" s="10"/>
      <c r="G44" s="10"/>
      <c r="H44" s="25"/>
    </row>
    <row r="45" spans="1:8" s="1" customFormat="1" ht="15.75" thickBot="1" x14ac:dyDescent="0.3">
      <c r="A45" s="27" t="str">
        <f>"S:a Aktiverat arbete för egen räkning"</f>
        <v>S:a Aktiverat arbete för egen räkning</v>
      </c>
      <c r="B45" s="14"/>
      <c r="C45" s="64">
        <f>SUM(C42:C44)</f>
        <v>8000</v>
      </c>
      <c r="D45" s="75">
        <f>SUM(D42:D44)</f>
        <v>8000</v>
      </c>
      <c r="E45" s="28">
        <f>SUM(E42:E43)</f>
        <v>0</v>
      </c>
      <c r="F45" s="28">
        <f>SUM(F42:F44)</f>
        <v>18541.059999999998</v>
      </c>
      <c r="G45" s="28">
        <f>SUM(G42:G44)</f>
        <v>18685</v>
      </c>
      <c r="H45" s="29">
        <f>SUM(H42:H44)</f>
        <v>21634</v>
      </c>
    </row>
    <row r="46" spans="1:8" x14ac:dyDescent="0.25">
      <c r="A46" s="19"/>
      <c r="B46" s="20"/>
      <c r="C46" s="63"/>
      <c r="D46" s="73"/>
      <c r="E46" s="30"/>
      <c r="F46" s="30"/>
      <c r="G46" s="30"/>
      <c r="H46" s="31"/>
    </row>
    <row r="47" spans="1:8" x14ac:dyDescent="0.25">
      <c r="A47" s="22" t="str">
        <f>"Övriga rörelseintäkter"</f>
        <v>Övriga rörelseintäkter</v>
      </c>
      <c r="B47" s="6"/>
      <c r="C47" s="62"/>
      <c r="D47" s="74"/>
      <c r="E47" s="10"/>
      <c r="F47" s="10"/>
      <c r="G47" s="10"/>
      <c r="H47" s="25"/>
    </row>
    <row r="48" spans="1:8" x14ac:dyDescent="0.25">
      <c r="A48" s="24" t="str">
        <f>"3990"</f>
        <v>3990</v>
      </c>
      <c r="B48" s="5" t="str">
        <f>"Övr ersättn och intäkter"</f>
        <v>Övr ersättn och intäkter</v>
      </c>
      <c r="C48" s="65"/>
      <c r="D48" s="74">
        <v>0</v>
      </c>
      <c r="E48" s="10">
        <v>6126</v>
      </c>
      <c r="F48" s="10">
        <v>15361</v>
      </c>
      <c r="G48" s="10">
        <v>27510</v>
      </c>
      <c r="H48" s="25">
        <v>43550</v>
      </c>
    </row>
    <row r="49" spans="1:59" x14ac:dyDescent="0.25">
      <c r="A49" s="24" t="str">
        <f>"3991"</f>
        <v>3991</v>
      </c>
      <c r="B49" s="5" t="str">
        <f>"Team Porto"</f>
        <v>Team Porto</v>
      </c>
      <c r="C49" s="65"/>
      <c r="D49" s="74">
        <v>0</v>
      </c>
      <c r="E49" s="10"/>
      <c r="F49" s="10">
        <v>1500</v>
      </c>
      <c r="G49" s="10">
        <v>0</v>
      </c>
      <c r="H49" s="25">
        <v>18000</v>
      </c>
    </row>
    <row r="50" spans="1:59" x14ac:dyDescent="0.25">
      <c r="A50" s="24" t="str">
        <f>"3992"</f>
        <v>3992</v>
      </c>
      <c r="B50" s="5" t="s">
        <v>98</v>
      </c>
      <c r="C50" s="65"/>
      <c r="D50" s="74">
        <v>0</v>
      </c>
      <c r="E50" s="10">
        <v>9370</v>
      </c>
      <c r="F50" s="10">
        <v>10010</v>
      </c>
      <c r="G50" s="10">
        <v>-5998</v>
      </c>
      <c r="H50" s="25"/>
    </row>
    <row r="51" spans="1:59" x14ac:dyDescent="0.25">
      <c r="A51" s="26"/>
      <c r="B51" s="6"/>
      <c r="C51" s="62"/>
      <c r="D51" s="74"/>
      <c r="E51" s="10"/>
      <c r="F51" s="10"/>
      <c r="G51" s="10"/>
      <c r="H51" s="25"/>
    </row>
    <row r="52" spans="1:59" s="1" customFormat="1" ht="15.75" thickBot="1" x14ac:dyDescent="0.3">
      <c r="A52" s="27" t="str">
        <f>"S:a Övriga rörelseintäkter"</f>
        <v>S:a Övriga rörelseintäkter</v>
      </c>
      <c r="B52" s="14"/>
      <c r="C52" s="64">
        <f t="shared" ref="C52:H52" si="0">SUM(C48:C51)</f>
        <v>0</v>
      </c>
      <c r="D52" s="75">
        <f t="shared" si="0"/>
        <v>0</v>
      </c>
      <c r="E52" s="28">
        <f t="shared" si="0"/>
        <v>15496</v>
      </c>
      <c r="F52" s="28">
        <f t="shared" si="0"/>
        <v>26871</v>
      </c>
      <c r="G52" s="28">
        <f t="shared" si="0"/>
        <v>21512</v>
      </c>
      <c r="H52" s="29">
        <f t="shared" si="0"/>
        <v>61550</v>
      </c>
    </row>
    <row r="53" spans="1:59" x14ac:dyDescent="0.25">
      <c r="A53" s="19"/>
      <c r="B53" s="20"/>
      <c r="C53" s="63"/>
      <c r="D53" s="73"/>
      <c r="E53" s="30"/>
      <c r="F53" s="30"/>
      <c r="G53" s="30"/>
      <c r="H53" s="31"/>
    </row>
    <row r="54" spans="1:59" x14ac:dyDescent="0.25">
      <c r="A54" s="26"/>
      <c r="B54" s="6"/>
      <c r="C54" s="62"/>
      <c r="D54" s="74"/>
      <c r="E54" s="10"/>
      <c r="F54" s="10"/>
      <c r="G54" s="10"/>
      <c r="H54" s="25"/>
    </row>
    <row r="55" spans="1:59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64">
        <f t="shared" ref="C55:H55" si="1">C39+C45+C52</f>
        <v>346700</v>
      </c>
      <c r="D55" s="75">
        <f t="shared" si="1"/>
        <v>351500</v>
      </c>
      <c r="E55" s="34">
        <f t="shared" si="1"/>
        <v>474933.63</v>
      </c>
      <c r="F55" s="34">
        <f t="shared" si="1"/>
        <v>538400.02</v>
      </c>
      <c r="G55" s="34">
        <f t="shared" si="1"/>
        <v>346767.66</v>
      </c>
      <c r="H55" s="35">
        <f t="shared" si="1"/>
        <v>464734.7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5">
      <c r="A56" s="19"/>
      <c r="B56" s="20"/>
      <c r="C56" s="63"/>
      <c r="D56" s="73"/>
      <c r="E56" s="30"/>
      <c r="F56" s="30"/>
      <c r="G56" s="30"/>
      <c r="H56" s="31"/>
    </row>
    <row r="57" spans="1:59" x14ac:dyDescent="0.25">
      <c r="A57" s="22" t="str">
        <f>"Rörelsens kostnader"</f>
        <v>Rörelsens kostnader</v>
      </c>
      <c r="B57" s="6"/>
      <c r="C57" s="62"/>
      <c r="D57" s="74"/>
      <c r="E57" s="10"/>
      <c r="F57" s="10"/>
      <c r="G57" s="10"/>
      <c r="H57" s="25"/>
    </row>
    <row r="58" spans="1:59" x14ac:dyDescent="0.25">
      <c r="A58" s="22" t="str">
        <f>"Råvaror och förnödenheter mm"</f>
        <v>Råvaror och förnödenheter mm</v>
      </c>
      <c r="B58" s="6"/>
      <c r="C58" s="62"/>
      <c r="D58" s="74"/>
      <c r="E58" s="10"/>
      <c r="F58" s="10"/>
      <c r="G58" s="10"/>
      <c r="H58" s="25"/>
    </row>
    <row r="59" spans="1:59" x14ac:dyDescent="0.25">
      <c r="A59" s="24" t="str">
        <f>"4010"</f>
        <v>4010</v>
      </c>
      <c r="B59" s="5" t="str">
        <f>"Tävlingskostnader"</f>
        <v>Tävlingskostnader</v>
      </c>
      <c r="C59" s="65"/>
      <c r="D59" s="77">
        <v>-70000</v>
      </c>
      <c r="E59" s="56"/>
      <c r="F59" s="10">
        <v>0</v>
      </c>
      <c r="G59" s="10">
        <v>-1005</v>
      </c>
      <c r="H59" s="25">
        <v>-5450</v>
      </c>
    </row>
    <row r="60" spans="1:59" x14ac:dyDescent="0.25">
      <c r="A60" s="24" t="str">
        <f>"4011"</f>
        <v>4011</v>
      </c>
      <c r="B60" s="5" t="str">
        <f>"Anmälningsavgifter"</f>
        <v>Anmälningsavgifter</v>
      </c>
      <c r="C60" s="65">
        <v>-43000</v>
      </c>
      <c r="D60" s="74">
        <v>0</v>
      </c>
      <c r="E60" s="10">
        <v>-41560</v>
      </c>
      <c r="F60" s="10">
        <v>-45206</v>
      </c>
      <c r="G60" s="10">
        <v>-43670.54</v>
      </c>
      <c r="H60" s="25">
        <v>-35313.22</v>
      </c>
    </row>
    <row r="61" spans="1:59" x14ac:dyDescent="0.25">
      <c r="A61" s="24" t="str">
        <f>"4012"</f>
        <v>4012</v>
      </c>
      <c r="B61" s="5" t="str">
        <f>"transportkostnader"</f>
        <v>transportkostnader</v>
      </c>
      <c r="C61" s="65">
        <v>-13000</v>
      </c>
      <c r="D61" s="74">
        <v>0</v>
      </c>
      <c r="E61" s="10">
        <v>-13186</v>
      </c>
      <c r="F61" s="10">
        <v>-25424</v>
      </c>
      <c r="G61" s="10">
        <v>-17624.8</v>
      </c>
      <c r="H61" s="25">
        <v>-18598</v>
      </c>
    </row>
    <row r="62" spans="1:59" x14ac:dyDescent="0.25">
      <c r="A62" s="24" t="str">
        <f>"4013"</f>
        <v>4013</v>
      </c>
      <c r="B62" s="5" t="str">
        <f>"Kost och logi under tävlingar"</f>
        <v>Kost och logi under tävlingar</v>
      </c>
      <c r="C62" s="65">
        <v>0</v>
      </c>
      <c r="D62" s="74">
        <v>0</v>
      </c>
      <c r="E62" s="10">
        <v>-9340</v>
      </c>
      <c r="F62" s="10">
        <v>-4616</v>
      </c>
      <c r="G62" s="10">
        <v>-3037</v>
      </c>
      <c r="H62" s="25">
        <v>-7403</v>
      </c>
    </row>
    <row r="63" spans="1:59" x14ac:dyDescent="0.25">
      <c r="A63" s="24" t="str">
        <f>"4014"</f>
        <v>4014</v>
      </c>
      <c r="B63" s="5" t="str">
        <f>"Övriga tävlingskostnader"</f>
        <v>Övriga tävlingskostnader</v>
      </c>
      <c r="C63" s="65">
        <v>0</v>
      </c>
      <c r="D63" s="74">
        <v>0</v>
      </c>
      <c r="E63" s="10">
        <v>-2210</v>
      </c>
      <c r="F63" s="10">
        <v>-4460</v>
      </c>
      <c r="G63" s="10">
        <v>-1900</v>
      </c>
      <c r="H63" s="25">
        <v>-14050</v>
      </c>
    </row>
    <row r="64" spans="1:59" x14ac:dyDescent="0.25">
      <c r="A64" s="24" t="str">
        <f>"4020"</f>
        <v>4020</v>
      </c>
      <c r="B64" s="5" t="str">
        <f>"Lägerkostnader"</f>
        <v>Lägerkostnader</v>
      </c>
      <c r="C64" s="65">
        <v>-10000</v>
      </c>
      <c r="D64" s="77">
        <v>-40000</v>
      </c>
      <c r="E64" s="56"/>
      <c r="F64" s="10">
        <v>-1100</v>
      </c>
      <c r="G64" s="10">
        <v>-5339</v>
      </c>
      <c r="H64" s="25">
        <v>-46962.58</v>
      </c>
      <c r="I64" t="s">
        <v>99</v>
      </c>
    </row>
    <row r="65" spans="1:9" x14ac:dyDescent="0.25">
      <c r="A65" s="24" t="str">
        <f>"4021"</f>
        <v>4021</v>
      </c>
      <c r="B65" s="5" t="str">
        <f>"Anmälningsavgifter, Läger"</f>
        <v>Anmälningsavgifter, Läger</v>
      </c>
      <c r="C65" s="65"/>
      <c r="D65" s="74">
        <v>0</v>
      </c>
      <c r="E65" s="10">
        <v>-9550</v>
      </c>
      <c r="F65" s="10">
        <v>-17400</v>
      </c>
      <c r="G65" s="10">
        <v>-8035</v>
      </c>
      <c r="H65" s="25"/>
    </row>
    <row r="66" spans="1:9" x14ac:dyDescent="0.25">
      <c r="A66" s="24" t="str">
        <f>"4022"</f>
        <v>4022</v>
      </c>
      <c r="B66" s="5" t="str">
        <f>"Transportkostnader, Läger"</f>
        <v>Transportkostnader, Läger</v>
      </c>
      <c r="C66" s="65"/>
      <c r="D66" s="74">
        <v>0</v>
      </c>
      <c r="E66" s="10">
        <v>-1248.75</v>
      </c>
      <c r="F66" s="10">
        <v>-6040.5</v>
      </c>
      <c r="G66" s="10">
        <v>-4154</v>
      </c>
      <c r="H66" s="25">
        <v>-6209</v>
      </c>
    </row>
    <row r="67" spans="1:9" x14ac:dyDescent="0.25">
      <c r="A67" s="24" t="str">
        <f>"4024"</f>
        <v>4024</v>
      </c>
      <c r="B67" s="5" t="str">
        <f>"SM läger"</f>
        <v>SM läger</v>
      </c>
      <c r="C67" s="65">
        <v>-47500</v>
      </c>
      <c r="D67" s="74">
        <v>0</v>
      </c>
      <c r="E67" s="10">
        <v>-18672</v>
      </c>
      <c r="F67" s="10">
        <v>-28738</v>
      </c>
      <c r="G67" s="10">
        <v>-900</v>
      </c>
      <c r="H67" s="25">
        <v>-3335</v>
      </c>
    </row>
    <row r="68" spans="1:9" x14ac:dyDescent="0.25">
      <c r="A68" s="24" t="s">
        <v>32</v>
      </c>
      <c r="B68" s="5" t="s">
        <v>33</v>
      </c>
      <c r="C68" s="65">
        <v>-13600</v>
      </c>
      <c r="D68" s="74"/>
      <c r="E68" s="10"/>
      <c r="F68" s="10"/>
      <c r="G68" s="10"/>
      <c r="H68" s="25"/>
    </row>
    <row r="69" spans="1:9" x14ac:dyDescent="0.25">
      <c r="A69" s="24" t="str">
        <f>"4110"</f>
        <v>4110</v>
      </c>
      <c r="B69" s="5" t="str">
        <f>"Kostnader Kanotskolan"</f>
        <v>Kostnader Kanotskolan</v>
      </c>
      <c r="C69" s="65">
        <v>-6000</v>
      </c>
      <c r="D69" s="74">
        <v>-7600</v>
      </c>
      <c r="E69" s="10">
        <v>-7341</v>
      </c>
      <c r="F69" s="10">
        <v>-8001.58</v>
      </c>
      <c r="G69" s="10">
        <v>-33528</v>
      </c>
      <c r="H69" s="25">
        <v>-27710</v>
      </c>
    </row>
    <row r="70" spans="1:9" x14ac:dyDescent="0.25">
      <c r="A70" s="24" t="str">
        <f>"4120"</f>
        <v>4120</v>
      </c>
      <c r="B70" s="5" t="str">
        <f>"Kostnad ungdomsverksamhet"</f>
        <v>Kostnad ungdomsverksamhet</v>
      </c>
      <c r="C70" s="65"/>
      <c r="D70" s="74">
        <v>-8000</v>
      </c>
      <c r="E70" s="10">
        <v>-17340.04</v>
      </c>
      <c r="F70" s="10">
        <v>-17468</v>
      </c>
      <c r="G70" s="10">
        <v>-3600</v>
      </c>
      <c r="H70" s="25">
        <v>-4000</v>
      </c>
      <c r="I70" t="s">
        <v>100</v>
      </c>
    </row>
    <row r="71" spans="1:9" x14ac:dyDescent="0.25">
      <c r="A71" s="24" t="str">
        <f>"4210"</f>
        <v>4210</v>
      </c>
      <c r="B71" s="5" t="str">
        <f>"Kostnad styrketräning"</f>
        <v>Kostnad styrketräning</v>
      </c>
      <c r="C71" s="65">
        <v>-1500</v>
      </c>
      <c r="D71" s="74">
        <v>0</v>
      </c>
      <c r="E71" s="10"/>
      <c r="F71" s="10">
        <v>0</v>
      </c>
      <c r="G71" s="10">
        <v>-1206</v>
      </c>
      <c r="H71" s="25">
        <v>-950</v>
      </c>
    </row>
    <row r="72" spans="1:9" x14ac:dyDescent="0.25">
      <c r="A72" s="24" t="str">
        <f>"4220"</f>
        <v>4220</v>
      </c>
      <c r="B72" s="5" t="s">
        <v>101</v>
      </c>
      <c r="C72" s="65"/>
      <c r="D72" s="74">
        <v>-22000</v>
      </c>
      <c r="E72" s="10">
        <v>-172295</v>
      </c>
      <c r="F72" s="10">
        <v>-92241.06</v>
      </c>
      <c r="G72" s="10">
        <v>0</v>
      </c>
      <c r="H72" s="25">
        <v>-92903.73</v>
      </c>
      <c r="I72" t="s">
        <v>102</v>
      </c>
    </row>
    <row r="73" spans="1:9" x14ac:dyDescent="0.25">
      <c r="A73" s="24" t="str">
        <f>"4410"</f>
        <v>4410</v>
      </c>
      <c r="B73" s="5" t="str">
        <f>"Utgifter Skåneregattan"</f>
        <v>Utgifter Skåneregattan</v>
      </c>
      <c r="C73" s="65"/>
      <c r="D73" s="74">
        <v>0</v>
      </c>
      <c r="E73" s="10">
        <v>-450</v>
      </c>
      <c r="F73" s="10">
        <v>-1141.8</v>
      </c>
      <c r="G73" s="10">
        <v>-56952</v>
      </c>
      <c r="H73" s="25">
        <v>-63783.47</v>
      </c>
    </row>
    <row r="74" spans="1:9" x14ac:dyDescent="0.25">
      <c r="A74" s="24" t="s">
        <v>39</v>
      </c>
      <c r="B74" s="5" t="s">
        <v>40</v>
      </c>
      <c r="C74" s="65"/>
      <c r="D74" s="74"/>
      <c r="E74" s="10">
        <v>-2323</v>
      </c>
      <c r="F74" s="10"/>
      <c r="G74" s="10"/>
      <c r="H74" s="25"/>
    </row>
    <row r="75" spans="1:9" x14ac:dyDescent="0.25">
      <c r="A75" s="24" t="str">
        <f>"4610"</f>
        <v>4610</v>
      </c>
      <c r="B75" s="5" t="str">
        <f>"Mötesverksamhet"</f>
        <v>Mötesverksamhet</v>
      </c>
      <c r="C75" s="65">
        <v>-5000</v>
      </c>
      <c r="D75" s="74">
        <v>-9000</v>
      </c>
      <c r="E75" s="10">
        <v>-5015</v>
      </c>
      <c r="F75" s="10">
        <v>-10973.5</v>
      </c>
      <c r="G75" s="10">
        <v>-7874.43</v>
      </c>
      <c r="H75" s="25">
        <v>-7408</v>
      </c>
    </row>
    <row r="76" spans="1:9" x14ac:dyDescent="0.25">
      <c r="A76" s="24" t="s">
        <v>43</v>
      </c>
      <c r="B76" s="5" t="s">
        <v>44</v>
      </c>
      <c r="C76" s="65"/>
      <c r="D76" s="74"/>
      <c r="E76" s="10">
        <v>-8620</v>
      </c>
      <c r="F76" s="10"/>
      <c r="G76" s="10"/>
      <c r="H76" s="25"/>
    </row>
    <row r="77" spans="1:9" x14ac:dyDescent="0.25">
      <c r="A77" s="24" t="str">
        <f>"4710"</f>
        <v>4710</v>
      </c>
      <c r="B77" s="5" t="str">
        <f>"Märken och priser"</f>
        <v>Märken och priser</v>
      </c>
      <c r="C77" s="65">
        <v>-3000</v>
      </c>
      <c r="D77" s="74">
        <v>-3000</v>
      </c>
      <c r="E77" s="10">
        <v>-2854</v>
      </c>
      <c r="F77" s="10">
        <v>-2967</v>
      </c>
      <c r="G77" s="10">
        <v>-4387</v>
      </c>
      <c r="H77" s="25">
        <v>-3760.9</v>
      </c>
    </row>
    <row r="78" spans="1:9" x14ac:dyDescent="0.25">
      <c r="A78" s="24" t="str">
        <f>"4800"</f>
        <v>4800</v>
      </c>
      <c r="B78" s="5" t="str">
        <f>"Medlemmarnas pengar"</f>
        <v>Medlemmarnas pengar</v>
      </c>
      <c r="C78" s="65"/>
      <c r="D78" s="74">
        <v>0</v>
      </c>
      <c r="E78" s="10"/>
      <c r="F78" s="10">
        <v>-10691</v>
      </c>
      <c r="G78" s="10">
        <v>-10035</v>
      </c>
      <c r="H78" s="25">
        <v>-21634</v>
      </c>
    </row>
    <row r="79" spans="1:9" x14ac:dyDescent="0.25">
      <c r="A79" s="26"/>
      <c r="B79" s="6"/>
      <c r="C79" s="62"/>
      <c r="D79" s="74"/>
      <c r="E79" s="10"/>
      <c r="F79" s="10"/>
      <c r="G79" s="10"/>
      <c r="H79" s="23"/>
    </row>
    <row r="80" spans="1:9" s="1" customFormat="1" ht="15.75" thickBot="1" x14ac:dyDescent="0.3">
      <c r="A80" s="27" t="str">
        <f>"S:a Råvaror och förnödenheter mm"</f>
        <v>S:a Råvaror och förnödenheter mm</v>
      </c>
      <c r="B80" s="14"/>
      <c r="C80" s="64">
        <f>SUM(C59:C78)</f>
        <v>-142600</v>
      </c>
      <c r="D80" s="76">
        <f>SUM(D59:D79)</f>
        <v>-159600</v>
      </c>
      <c r="E80" s="28">
        <f>SUM(E60:E79)</f>
        <v>-312004.79000000004</v>
      </c>
      <c r="F80" s="28">
        <f>SUM(F59:F79)</f>
        <v>-276468.43999999994</v>
      </c>
      <c r="G80" s="28">
        <f>SUM(G59:G79)</f>
        <v>-203247.77</v>
      </c>
      <c r="H80" s="29">
        <f>SUM(H59:H78)</f>
        <v>-359470.9</v>
      </c>
    </row>
    <row r="81" spans="1:8" x14ac:dyDescent="0.25">
      <c r="A81" s="19"/>
      <c r="B81" s="20"/>
      <c r="C81" s="63"/>
      <c r="D81" s="73"/>
      <c r="E81" s="30"/>
      <c r="F81" s="30"/>
      <c r="G81" s="30"/>
      <c r="H81" s="31"/>
    </row>
    <row r="82" spans="1:8" x14ac:dyDescent="0.25">
      <c r="A82" s="26"/>
      <c r="B82" s="6"/>
      <c r="C82" s="62"/>
      <c r="D82" s="74"/>
      <c r="E82" s="10"/>
      <c r="F82" s="10"/>
      <c r="G82" s="10"/>
      <c r="H82" s="25"/>
    </row>
    <row r="83" spans="1:8" s="1" customFormat="1" ht="15.75" thickBot="1" x14ac:dyDescent="0.3">
      <c r="A83" s="27" t="str">
        <f>"Bruttovinst"</f>
        <v>Bruttovinst</v>
      </c>
      <c r="B83" s="14"/>
      <c r="C83" s="64">
        <f t="shared" ref="C83:H83" si="2">C55+C80</f>
        <v>204100</v>
      </c>
      <c r="D83" s="75">
        <f t="shared" si="2"/>
        <v>191900</v>
      </c>
      <c r="E83" s="28">
        <f t="shared" si="2"/>
        <v>162928.83999999997</v>
      </c>
      <c r="F83" s="28">
        <f t="shared" si="2"/>
        <v>261931.58000000007</v>
      </c>
      <c r="G83" s="28">
        <f t="shared" si="2"/>
        <v>143519.88999999998</v>
      </c>
      <c r="H83" s="28">
        <f t="shared" si="2"/>
        <v>105263.79999999999</v>
      </c>
    </row>
    <row r="84" spans="1:8" x14ac:dyDescent="0.25">
      <c r="A84" s="19"/>
      <c r="B84" s="20"/>
      <c r="C84" s="63"/>
      <c r="D84" s="73"/>
      <c r="E84" s="30"/>
      <c r="F84" s="30"/>
      <c r="G84" s="30"/>
      <c r="H84" s="31"/>
    </row>
    <row r="85" spans="1:8" x14ac:dyDescent="0.25">
      <c r="A85" s="22" t="str">
        <f>"Övriga externa kostnader"</f>
        <v>Övriga externa kostnader</v>
      </c>
      <c r="B85" s="6"/>
      <c r="C85" s="62"/>
      <c r="D85" s="74"/>
      <c r="E85" s="10"/>
      <c r="F85" s="10"/>
      <c r="G85" s="10"/>
      <c r="H85" s="25"/>
    </row>
    <row r="86" spans="1:8" x14ac:dyDescent="0.25">
      <c r="A86" s="24" t="str">
        <f>"5110"</f>
        <v>5110</v>
      </c>
      <c r="B86" s="5" t="str">
        <f>"Arrende"</f>
        <v>Arrende</v>
      </c>
      <c r="C86" s="65">
        <v>-1600</v>
      </c>
      <c r="D86" s="74">
        <v>-1600</v>
      </c>
      <c r="E86" s="10">
        <v>-1597</v>
      </c>
      <c r="F86" s="10">
        <v>-1579</v>
      </c>
      <c r="G86" s="10">
        <v>-1597</v>
      </c>
      <c r="H86" s="25">
        <v>-1534</v>
      </c>
    </row>
    <row r="87" spans="1:8" x14ac:dyDescent="0.25">
      <c r="A87" s="24" t="str">
        <f>"5120"</f>
        <v>5120</v>
      </c>
      <c r="B87" s="5" t="str">
        <f>"Elektricitet"</f>
        <v>Elektricitet</v>
      </c>
      <c r="C87" s="65">
        <v>-28000</v>
      </c>
      <c r="D87" s="74">
        <v>-25000</v>
      </c>
      <c r="E87" s="10">
        <v>-27177</v>
      </c>
      <c r="F87" s="10">
        <v>-28561</v>
      </c>
      <c r="G87" s="10">
        <v>-26956</v>
      </c>
      <c r="H87" s="25">
        <v>-24956</v>
      </c>
    </row>
    <row r="88" spans="1:8" x14ac:dyDescent="0.25">
      <c r="A88" s="24" t="str">
        <f>"5140"</f>
        <v>5140</v>
      </c>
      <c r="B88" s="5" t="str">
        <f>"Vatten och sophämtning"</f>
        <v>Vatten och sophämtning</v>
      </c>
      <c r="C88" s="65">
        <v>-6000</v>
      </c>
      <c r="D88" s="74">
        <v>-6000</v>
      </c>
      <c r="E88" s="10">
        <v>-5332</v>
      </c>
      <c r="F88" s="10">
        <v>-5798</v>
      </c>
      <c r="G88" s="10">
        <v>-9965</v>
      </c>
      <c r="H88" s="25">
        <v>-5594</v>
      </c>
    </row>
    <row r="89" spans="1:8" x14ac:dyDescent="0.25">
      <c r="A89" s="24" t="str">
        <f>"5170"</f>
        <v>5170</v>
      </c>
      <c r="B89" s="5" t="str">
        <f>"Fastighetsunderhåll"</f>
        <v>Fastighetsunderhåll</v>
      </c>
      <c r="C89" s="65">
        <v>-55000</v>
      </c>
      <c r="D89" s="74">
        <v>-60000</v>
      </c>
      <c r="E89" s="10">
        <v>-3825</v>
      </c>
      <c r="F89" s="10">
        <v>-15856</v>
      </c>
      <c r="G89" s="10">
        <v>-2568</v>
      </c>
      <c r="H89" s="25">
        <v>-1744</v>
      </c>
    </row>
    <row r="90" spans="1:8" x14ac:dyDescent="0.25">
      <c r="A90" s="24" t="s">
        <v>103</v>
      </c>
      <c r="B90" s="5" t="s">
        <v>104</v>
      </c>
      <c r="C90" s="65"/>
      <c r="D90" s="74"/>
      <c r="E90" s="10">
        <v>-2076</v>
      </c>
      <c r="F90" s="10"/>
      <c r="G90" s="10">
        <v>-101131.15</v>
      </c>
      <c r="H90" s="25"/>
    </row>
    <row r="91" spans="1:8" x14ac:dyDescent="0.25">
      <c r="A91" s="24" t="str">
        <f>"5410"</f>
        <v>5410</v>
      </c>
      <c r="B91" s="5" t="str">
        <f>"Förbrukningsinventarier"</f>
        <v>Förbrukningsinventarier</v>
      </c>
      <c r="C91" s="65">
        <v>-2000</v>
      </c>
      <c r="D91" s="74">
        <v>-2000</v>
      </c>
      <c r="E91" s="10">
        <v>-618</v>
      </c>
      <c r="F91" s="10">
        <v>-3232.52</v>
      </c>
      <c r="G91" s="10">
        <v>-106</v>
      </c>
      <c r="H91" s="25">
        <v>-2819.41</v>
      </c>
    </row>
    <row r="92" spans="1:8" x14ac:dyDescent="0.25">
      <c r="A92" s="24" t="str">
        <f>"5420"</f>
        <v>5420</v>
      </c>
      <c r="B92" s="5" t="str">
        <f>"Programvaror"</f>
        <v>Programvaror</v>
      </c>
      <c r="C92" s="65">
        <v>-1000</v>
      </c>
      <c r="D92" s="74">
        <v>-1000</v>
      </c>
      <c r="E92" s="10">
        <v>-1075</v>
      </c>
      <c r="F92" s="10">
        <v>-1030</v>
      </c>
      <c r="G92" s="10">
        <v>-109</v>
      </c>
      <c r="H92" s="25">
        <v>-1278</v>
      </c>
    </row>
    <row r="93" spans="1:8" x14ac:dyDescent="0.25">
      <c r="A93" s="24" t="str">
        <f>"5500"</f>
        <v>5500</v>
      </c>
      <c r="B93" s="5" t="str">
        <f>"Kanotunderhåll"</f>
        <v>Kanotunderhåll</v>
      </c>
      <c r="C93" s="65">
        <v>-10000</v>
      </c>
      <c r="D93" s="74">
        <v>-10000</v>
      </c>
      <c r="E93" s="10">
        <v>-9680.2199999999993</v>
      </c>
      <c r="F93" s="10">
        <v>-7053.75</v>
      </c>
      <c r="G93" s="10">
        <v>-376</v>
      </c>
      <c r="H93" s="25">
        <v>-2480.27</v>
      </c>
    </row>
    <row r="94" spans="1:8" x14ac:dyDescent="0.25">
      <c r="A94" s="24" t="str">
        <f>"5611"</f>
        <v>5611</v>
      </c>
      <c r="B94" s="5" t="str">
        <f>"Övrig Bensin"</f>
        <v>Övrig Bensin</v>
      </c>
      <c r="C94" s="65">
        <v>-3000</v>
      </c>
      <c r="D94" s="74">
        <v>-3000</v>
      </c>
      <c r="E94" s="10">
        <v>-1871.96</v>
      </c>
      <c r="F94" s="10">
        <v>-1083.4000000000001</v>
      </c>
      <c r="G94" s="10">
        <v>-31529</v>
      </c>
      <c r="H94" s="25"/>
    </row>
    <row r="95" spans="1:8" x14ac:dyDescent="0.25">
      <c r="A95" s="24" t="str">
        <f>"5612"</f>
        <v>5612</v>
      </c>
      <c r="B95" s="5" t="str">
        <f>"Försäkring"</f>
        <v>Försäkring</v>
      </c>
      <c r="C95" s="65">
        <v>-40000</v>
      </c>
      <c r="D95" s="74">
        <v>-40000</v>
      </c>
      <c r="E95" s="10">
        <v>-36897</v>
      </c>
      <c r="F95" s="10">
        <v>-38130</v>
      </c>
      <c r="G95" s="10">
        <v>-5272.64</v>
      </c>
      <c r="H95" s="25">
        <v>-188</v>
      </c>
    </row>
    <row r="96" spans="1:8" x14ac:dyDescent="0.25">
      <c r="A96" s="24" t="s">
        <v>52</v>
      </c>
      <c r="B96" s="5" t="s">
        <v>53</v>
      </c>
      <c r="C96" s="65"/>
      <c r="D96" s="74"/>
      <c r="E96" s="10">
        <v>-370</v>
      </c>
      <c r="F96" s="10">
        <v>-478</v>
      </c>
      <c r="G96" s="10"/>
      <c r="H96" s="25"/>
    </row>
    <row r="97" spans="1:9" x14ac:dyDescent="0.25">
      <c r="A97" s="24" t="str">
        <f>"5614"</f>
        <v>5614</v>
      </c>
      <c r="B97" s="5" t="str">
        <f>"Reparation och Underhåll"</f>
        <v>Reparation och Underhåll</v>
      </c>
      <c r="C97" s="65">
        <v>0</v>
      </c>
      <c r="D97" s="74">
        <v>-5000</v>
      </c>
      <c r="E97" s="10">
        <v>-53755</v>
      </c>
      <c r="F97" s="10">
        <v>-3823</v>
      </c>
      <c r="G97" s="10">
        <v>-1541</v>
      </c>
      <c r="H97" s="25">
        <v>-536</v>
      </c>
    </row>
    <row r="98" spans="1:9" x14ac:dyDescent="0.25">
      <c r="A98" s="24" t="str">
        <f>"5620"</f>
        <v>5620</v>
      </c>
      <c r="B98" s="5" t="str">
        <f>"Kostnader motobåt"</f>
        <v>Kostnader motobåt</v>
      </c>
      <c r="C98" s="65">
        <v>-2000</v>
      </c>
      <c r="D98" s="74">
        <v>-4000</v>
      </c>
      <c r="E98" s="10">
        <v>-4230</v>
      </c>
      <c r="F98" s="10">
        <v>-72</v>
      </c>
      <c r="G98" s="10">
        <v>-2684</v>
      </c>
      <c r="H98" s="25">
        <v>-446.8</v>
      </c>
    </row>
    <row r="99" spans="1:9" x14ac:dyDescent="0.25">
      <c r="A99" s="24" t="s">
        <v>55</v>
      </c>
      <c r="B99" s="5" t="s">
        <v>56</v>
      </c>
      <c r="C99" s="65"/>
      <c r="D99" s="74"/>
      <c r="E99" s="10">
        <v>-2577</v>
      </c>
      <c r="F99" s="10">
        <v>-40000</v>
      </c>
      <c r="G99" s="10"/>
      <c r="H99" s="25"/>
      <c r="I99" t="s">
        <v>105</v>
      </c>
    </row>
    <row r="100" spans="1:9" x14ac:dyDescent="0.25">
      <c r="A100" s="24" t="str">
        <f>"6110"</f>
        <v>6110</v>
      </c>
      <c r="B100" s="5" t="str">
        <f>"Kontorsmaterial"</f>
        <v>Kontorsmaterial</v>
      </c>
      <c r="C100" s="65">
        <v>-2000</v>
      </c>
      <c r="D100" s="74">
        <v>-1000</v>
      </c>
      <c r="E100" s="10">
        <v>-1901</v>
      </c>
      <c r="F100" s="10">
        <v>-3241</v>
      </c>
      <c r="G100" s="10">
        <v>-4026.37</v>
      </c>
      <c r="H100" s="25">
        <v>-3042</v>
      </c>
    </row>
    <row r="101" spans="1:9" x14ac:dyDescent="0.25">
      <c r="A101" s="24" t="str">
        <f>"6210"</f>
        <v>6210</v>
      </c>
      <c r="B101" s="5" t="str">
        <f>"Telefon"</f>
        <v>Telefon</v>
      </c>
      <c r="C101" s="65">
        <v>-3000</v>
      </c>
      <c r="D101" s="74">
        <v>-2000</v>
      </c>
      <c r="E101" s="10">
        <v>-2666</v>
      </c>
      <c r="F101" s="10">
        <v>-2206</v>
      </c>
      <c r="G101" s="10">
        <v>-270</v>
      </c>
      <c r="H101" s="25">
        <v>-86</v>
      </c>
    </row>
    <row r="102" spans="1:9" x14ac:dyDescent="0.25">
      <c r="A102" s="24" t="str">
        <f>"6250"</f>
        <v>6250</v>
      </c>
      <c r="B102" s="5" t="str">
        <f>"Porto"</f>
        <v>Porto</v>
      </c>
      <c r="C102" s="65">
        <v>-1000</v>
      </c>
      <c r="D102" s="74">
        <v>-300</v>
      </c>
      <c r="E102" s="10">
        <v>-627</v>
      </c>
      <c r="F102" s="10">
        <v>0</v>
      </c>
      <c r="G102" s="10">
        <v>0</v>
      </c>
      <c r="H102" s="25">
        <v>-25045</v>
      </c>
    </row>
    <row r="103" spans="1:9" x14ac:dyDescent="0.25">
      <c r="A103" s="24" t="str">
        <f>"6570"</f>
        <v>6570</v>
      </c>
      <c r="B103" s="5" t="str">
        <f>"Bankkostnader"</f>
        <v>Bankkostnader</v>
      </c>
      <c r="C103" s="65">
        <v>-4500</v>
      </c>
      <c r="D103" s="74">
        <v>-4000</v>
      </c>
      <c r="E103" s="10">
        <v>-4564</v>
      </c>
      <c r="F103" s="10">
        <v>-3287.5</v>
      </c>
      <c r="G103" s="10">
        <v>-1981.5</v>
      </c>
      <c r="H103" s="25"/>
    </row>
    <row r="104" spans="1:9" x14ac:dyDescent="0.25">
      <c r="A104" s="24" t="str">
        <f>"6980"</f>
        <v>6980</v>
      </c>
      <c r="B104" s="5" t="str">
        <f>"Föreningsavgift /Licenser"</f>
        <v>Föreningsavgift /Licenser</v>
      </c>
      <c r="C104" s="65">
        <v>-17000</v>
      </c>
      <c r="D104" s="74">
        <v>-5000</v>
      </c>
      <c r="E104" s="10">
        <v>-19072</v>
      </c>
      <c r="F104" s="10">
        <v>-2170</v>
      </c>
      <c r="G104" s="10">
        <v>-4577</v>
      </c>
      <c r="H104" s="25">
        <v>-5575</v>
      </c>
      <c r="I104" t="s">
        <v>106</v>
      </c>
    </row>
    <row r="105" spans="1:9" x14ac:dyDescent="0.25">
      <c r="A105" s="24" t="str">
        <f>"6990"</f>
        <v>6990</v>
      </c>
      <c r="B105" s="5" t="str">
        <f>"Övriga Kostnader"</f>
        <v>Övriga Kostnader</v>
      </c>
      <c r="C105" s="65">
        <v>-8000</v>
      </c>
      <c r="D105" s="74">
        <v>-5000</v>
      </c>
      <c r="E105" s="10">
        <v>-7471</v>
      </c>
      <c r="F105" s="10">
        <v>-3260.33</v>
      </c>
      <c r="G105" s="10">
        <v>-20072.3</v>
      </c>
      <c r="H105" s="25">
        <v>-23995.78</v>
      </c>
    </row>
    <row r="106" spans="1:9" x14ac:dyDescent="0.25">
      <c r="A106" s="24" t="str">
        <f>"6991"</f>
        <v>6991</v>
      </c>
      <c r="B106" s="5" t="str">
        <f>"Container"</f>
        <v>Container</v>
      </c>
      <c r="C106" s="65"/>
      <c r="D106" s="74">
        <v>0</v>
      </c>
      <c r="E106" s="10"/>
      <c r="F106" s="10">
        <v>0</v>
      </c>
      <c r="G106" s="10">
        <v>-5562.5</v>
      </c>
      <c r="H106" s="25">
        <v>-17500</v>
      </c>
    </row>
    <row r="107" spans="1:9" x14ac:dyDescent="0.25">
      <c r="A107" s="26"/>
      <c r="B107" s="6"/>
      <c r="C107" s="65"/>
      <c r="D107" s="74"/>
      <c r="E107" s="10"/>
      <c r="F107" s="10"/>
      <c r="G107" s="10"/>
      <c r="H107" s="25"/>
    </row>
    <row r="108" spans="1:9" s="1" customFormat="1" ht="15.75" thickBot="1" x14ac:dyDescent="0.3">
      <c r="A108" s="27" t="str">
        <f>"S:a Övriga externa kostnader"</f>
        <v>S:a Övriga externa kostnader</v>
      </c>
      <c r="B108" s="14"/>
      <c r="C108" s="64">
        <f>SUM(C86:C106)</f>
        <v>-184100</v>
      </c>
      <c r="D108" s="76">
        <f>SUM(D86:D107)</f>
        <v>-174900</v>
      </c>
      <c r="E108" s="55">
        <f>SUM(E86:E107)</f>
        <v>-187382.18</v>
      </c>
      <c r="F108" s="28">
        <f>SUM(F86:F107)</f>
        <v>-160861.49999999997</v>
      </c>
      <c r="G108" s="28">
        <f>SUM(G86:G107)</f>
        <v>-220324.46</v>
      </c>
      <c r="H108" s="29">
        <f>SUM(H86:H107)</f>
        <v>-116820.26000000001</v>
      </c>
    </row>
    <row r="109" spans="1:9" s="1" customFormat="1" ht="15.75" thickBot="1" x14ac:dyDescent="0.3">
      <c r="A109" s="80"/>
      <c r="B109" s="81"/>
      <c r="C109" s="82"/>
      <c r="D109" s="83"/>
      <c r="E109" s="84"/>
      <c r="F109" s="85"/>
      <c r="G109" s="85"/>
      <c r="H109" s="86"/>
    </row>
    <row r="110" spans="1:9" x14ac:dyDescent="0.25">
      <c r="A110" s="19"/>
      <c r="B110" s="20"/>
      <c r="C110" s="67"/>
      <c r="D110" s="73"/>
      <c r="E110" s="30"/>
      <c r="F110" s="30"/>
      <c r="G110" s="30"/>
      <c r="H110" s="31"/>
    </row>
    <row r="111" spans="1:9" x14ac:dyDescent="0.25">
      <c r="A111" s="22" t="str">
        <f>"Personalkostnader"</f>
        <v>Personalkostnader</v>
      </c>
      <c r="B111" s="6"/>
      <c r="C111" s="65"/>
      <c r="D111" s="74"/>
      <c r="E111" s="10"/>
      <c r="F111" s="10"/>
      <c r="G111" s="10"/>
      <c r="H111" s="25"/>
    </row>
    <row r="112" spans="1:9" x14ac:dyDescent="0.25">
      <c r="A112" s="24" t="str">
        <f>"7110"</f>
        <v>7110</v>
      </c>
      <c r="B112" s="5" t="str">
        <f>"Träningsbidrag"</f>
        <v>Träningsbidrag</v>
      </c>
      <c r="C112" s="65">
        <v>-8000</v>
      </c>
      <c r="D112" s="74">
        <v>-10000</v>
      </c>
      <c r="E112" s="10">
        <v>-8200</v>
      </c>
      <c r="F112" s="10">
        <v>0</v>
      </c>
      <c r="G112" s="10">
        <v>-2253</v>
      </c>
      <c r="H112" s="25">
        <v>0</v>
      </c>
      <c r="I112" t="s">
        <v>107</v>
      </c>
    </row>
    <row r="113" spans="1:59" x14ac:dyDescent="0.25">
      <c r="A113" s="24" t="str">
        <f>"7210"</f>
        <v>7210</v>
      </c>
      <c r="B113" s="5" t="str">
        <f>"Resekostnads ersättning"</f>
        <v>Resekostnads ersättning</v>
      </c>
      <c r="C113" s="65">
        <v>-4000</v>
      </c>
      <c r="D113" s="74">
        <v>-2000</v>
      </c>
      <c r="E113" s="10">
        <v>-4548</v>
      </c>
      <c r="F113" s="10">
        <v>0</v>
      </c>
      <c r="G113" s="10">
        <v>-11174.4</v>
      </c>
      <c r="H113" s="25">
        <v>0</v>
      </c>
    </row>
    <row r="114" spans="1:59" x14ac:dyDescent="0.25">
      <c r="A114" s="24" t="str">
        <f>"7610"</f>
        <v>7610</v>
      </c>
      <c r="B114" s="5" t="str">
        <f>"Utbildning"</f>
        <v>Utbildning</v>
      </c>
      <c r="C114" s="65">
        <v>-8000</v>
      </c>
      <c r="D114" s="74">
        <v>-5000</v>
      </c>
      <c r="E114" s="10">
        <v>-3530</v>
      </c>
      <c r="F114" s="10">
        <v>-6600</v>
      </c>
      <c r="G114" s="10">
        <v>-9105</v>
      </c>
      <c r="H114" s="25">
        <v>0</v>
      </c>
    </row>
    <row r="115" spans="1:59" x14ac:dyDescent="0.25">
      <c r="A115" s="26"/>
      <c r="B115" s="6"/>
      <c r="C115" s="65"/>
      <c r="D115" s="74"/>
      <c r="E115" s="10"/>
      <c r="F115" s="10"/>
      <c r="G115" s="10"/>
      <c r="H115" s="25"/>
    </row>
    <row r="116" spans="1:59" s="1" customFormat="1" ht="15.75" thickBot="1" x14ac:dyDescent="0.3">
      <c r="A116" s="27" t="str">
        <f>"S:a Personalkostnader"</f>
        <v>S:a Personalkostnader</v>
      </c>
      <c r="B116" s="14"/>
      <c r="C116" s="64">
        <f>SUM(C112:C114)</f>
        <v>-20000</v>
      </c>
      <c r="D116" s="76">
        <f>SUM(D112:D115)</f>
        <v>-17000</v>
      </c>
      <c r="E116" s="55">
        <f>SUM(E112:E115)</f>
        <v>-16278</v>
      </c>
      <c r="F116" s="28">
        <f>SUM(F112:F115)</f>
        <v>-6600</v>
      </c>
      <c r="G116" s="28">
        <f>SUM(G112:G115)</f>
        <v>-22532.400000000001</v>
      </c>
      <c r="H116" s="29">
        <f>SUM(H112:H115)</f>
        <v>0</v>
      </c>
    </row>
    <row r="117" spans="1:59" x14ac:dyDescent="0.25">
      <c r="A117" s="19"/>
      <c r="B117" s="20"/>
      <c r="C117" s="67"/>
      <c r="D117" s="73"/>
      <c r="E117" s="30"/>
      <c r="F117" s="30"/>
      <c r="G117" s="30"/>
      <c r="H117" s="31"/>
    </row>
    <row r="118" spans="1:59" x14ac:dyDescent="0.25">
      <c r="A118" s="26"/>
      <c r="B118" s="6"/>
      <c r="C118" s="65"/>
      <c r="D118" s="74"/>
      <c r="E118" s="10"/>
      <c r="F118" s="10"/>
      <c r="G118" s="10"/>
      <c r="H118" s="25"/>
    </row>
    <row r="119" spans="1:59" s="2" customFormat="1" ht="15.75" thickBot="1" x14ac:dyDescent="0.3">
      <c r="A119" s="32" t="str">
        <f>"S:a Rörelsens kostnader inkl råvaror mm"</f>
        <v>S:a Rörelsens kostnader inkl råvaror mm</v>
      </c>
      <c r="B119" s="33"/>
      <c r="C119" s="64">
        <f>C80+C108+C116</f>
        <v>-346700</v>
      </c>
      <c r="D119" s="75">
        <f t="shared" ref="D119:H119" si="3">D80+D108+D116</f>
        <v>-351500</v>
      </c>
      <c r="E119" s="55">
        <f t="shared" si="3"/>
        <v>-515664.97000000003</v>
      </c>
      <c r="F119" s="34">
        <f t="shared" si="3"/>
        <v>-443929.93999999994</v>
      </c>
      <c r="G119" s="34">
        <f t="shared" si="3"/>
        <v>-446104.63</v>
      </c>
      <c r="H119" s="35">
        <f t="shared" si="3"/>
        <v>-476291.16000000003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 s="2" customFormat="1" x14ac:dyDescent="0.25">
      <c r="A120" s="51"/>
      <c r="B120" s="17"/>
      <c r="C120" s="68"/>
      <c r="D120" s="78"/>
      <c r="E120" s="57"/>
      <c r="F120" s="52"/>
      <c r="G120" s="52"/>
      <c r="H120" s="5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s="2" customFormat="1" x14ac:dyDescent="0.25">
      <c r="A121" s="51" t="s">
        <v>59</v>
      </c>
      <c r="B121" s="17" t="s">
        <v>60</v>
      </c>
      <c r="C121" s="68"/>
      <c r="D121" s="78"/>
      <c r="E121" s="57">
        <v>2627.11</v>
      </c>
      <c r="F121" s="52">
        <v>310.37</v>
      </c>
      <c r="G121" s="52"/>
      <c r="H121" s="5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x14ac:dyDescent="0.25">
      <c r="A122" s="26"/>
      <c r="B122" s="6"/>
      <c r="C122" s="65"/>
      <c r="D122" s="74"/>
      <c r="E122" s="10"/>
      <c r="F122" s="10"/>
      <c r="G122" s="10"/>
      <c r="H122" s="25"/>
    </row>
    <row r="123" spans="1:59" s="3" customFormat="1" x14ac:dyDescent="0.25">
      <c r="A123" s="36" t="str">
        <f>"Beräknat resultat"</f>
        <v>Beräknat resultat</v>
      </c>
      <c r="B123" s="12"/>
      <c r="C123" s="69">
        <f>C55+C119+C121</f>
        <v>0</v>
      </c>
      <c r="D123" s="79">
        <f>D55+D119</f>
        <v>0</v>
      </c>
      <c r="E123" s="13">
        <f>E55+E119+E121</f>
        <v>-38104.230000000025</v>
      </c>
      <c r="F123" s="13">
        <f>F55+F119+F121</f>
        <v>94780.45000000007</v>
      </c>
      <c r="G123" s="13">
        <f>G55+G119+G121</f>
        <v>-99336.97000000003</v>
      </c>
      <c r="H123" s="13">
        <f>H55+H119+H121</f>
        <v>-11556.460000000021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ht="15.75" thickBot="1" x14ac:dyDescent="0.3">
      <c r="A124" s="37"/>
      <c r="B124" s="15"/>
      <c r="C124" s="15"/>
      <c r="D124" s="70"/>
      <c r="E124" s="28"/>
      <c r="F124" s="15"/>
      <c r="G124" s="15"/>
      <c r="H124" s="38"/>
    </row>
    <row r="125" spans="1:59" x14ac:dyDescent="0.25">
      <c r="F125" s="46"/>
    </row>
    <row r="197" ht="12" customHeight="1" x14ac:dyDescent="0.25"/>
  </sheetData>
  <pageMargins left="0.23622047244094491" right="0.23622047244094491" top="0.74803149606299213" bottom="0" header="0.31496062992125984" footer="0.31496062992125984"/>
  <pageSetup paperSize="9" orientation="landscape" r:id="rId1"/>
  <headerFooter>
    <oddHeader>&amp;C&amp;"Calibri"&amp;10&amp;K008000 Zeppelin: Confidential GREEN&amp;1#_x000D_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G126"/>
  <sheetViews>
    <sheetView workbookViewId="0">
      <selection activeCell="B29" sqref="B29"/>
    </sheetView>
  </sheetViews>
  <sheetFormatPr defaultRowHeight="15" x14ac:dyDescent="0.25"/>
  <cols>
    <col min="1" max="1" width="16.85546875" customWidth="1"/>
    <col min="2" max="2" width="30.140625" customWidth="1"/>
    <col min="3" max="3" width="21.7109375" customWidth="1"/>
    <col min="4" max="4" width="14.28515625" customWidth="1"/>
    <col min="5" max="6" width="13.7109375" style="4" customWidth="1"/>
    <col min="7" max="8" width="13.7109375" bestFit="1" customWidth="1"/>
    <col min="10" max="10" width="10.28515625" customWidth="1"/>
    <col min="11" max="11" width="12.7109375" bestFit="1" customWidth="1"/>
  </cols>
  <sheetData>
    <row r="1" spans="1:8" x14ac:dyDescent="0.25">
      <c r="A1" s="9" t="str">
        <f>"Sida:"</f>
        <v>Sida:</v>
      </c>
      <c r="B1" s="47">
        <v>1</v>
      </c>
      <c r="C1" s="47"/>
      <c r="D1" s="47"/>
      <c r="E1" s="10"/>
      <c r="F1" s="10"/>
      <c r="G1" s="6"/>
      <c r="H1" s="6"/>
    </row>
    <row r="2" spans="1:8" x14ac:dyDescent="0.25">
      <c r="A2" s="9" t="str">
        <f>"Utskrivet:"</f>
        <v>Utskrivet:</v>
      </c>
      <c r="B2" s="87"/>
      <c r="C2" s="87"/>
      <c r="D2" s="7"/>
      <c r="E2" s="10"/>
      <c r="F2" s="10"/>
      <c r="G2" s="6"/>
      <c r="H2" s="6"/>
    </row>
    <row r="3" spans="1:8" x14ac:dyDescent="0.25">
      <c r="A3" s="9" t="str">
        <f>"Senaste vernr:"</f>
        <v>Senaste vernr:</v>
      </c>
      <c r="B3" s="9"/>
      <c r="C3" s="9"/>
      <c r="D3" s="9"/>
      <c r="E3" s="10"/>
      <c r="F3" s="10"/>
      <c r="G3" s="8"/>
      <c r="H3" s="6"/>
    </row>
    <row r="4" spans="1:8" x14ac:dyDescent="0.25">
      <c r="A4" s="6"/>
      <c r="B4" s="6"/>
      <c r="C4" s="100">
        <v>2013</v>
      </c>
      <c r="D4" s="71">
        <v>2012</v>
      </c>
      <c r="E4" s="58">
        <v>2012</v>
      </c>
      <c r="F4" s="58">
        <v>2011</v>
      </c>
      <c r="G4" s="58">
        <v>2010</v>
      </c>
      <c r="H4" s="58">
        <v>2009</v>
      </c>
    </row>
    <row r="5" spans="1:8" ht="15.75" thickBot="1" x14ac:dyDescent="0.3">
      <c r="A5" s="16"/>
      <c r="B5" s="16"/>
      <c r="C5" s="101" t="s">
        <v>4</v>
      </c>
      <c r="D5" s="88" t="s">
        <v>4</v>
      </c>
      <c r="E5" s="60" t="s">
        <v>5</v>
      </c>
      <c r="F5" s="60" t="s">
        <v>5</v>
      </c>
      <c r="G5" s="61" t="s">
        <v>5</v>
      </c>
      <c r="H5" s="59" t="s">
        <v>5</v>
      </c>
    </row>
    <row r="6" spans="1:8" x14ac:dyDescent="0.25">
      <c r="A6" s="19"/>
      <c r="B6" s="20"/>
      <c r="C6" s="102"/>
      <c r="D6" s="89"/>
      <c r="E6" s="30"/>
      <c r="F6" s="30"/>
      <c r="G6" s="20"/>
      <c r="H6" s="20"/>
    </row>
    <row r="7" spans="1:8" x14ac:dyDescent="0.25">
      <c r="A7" s="22" t="str">
        <f>"Rörelsens intäkter och lagerförändring"</f>
        <v>Rörelsens intäkter och lagerförändring</v>
      </c>
      <c r="B7" s="6"/>
      <c r="C7" s="103"/>
      <c r="D7" s="90"/>
      <c r="E7" s="10"/>
      <c r="F7" s="10"/>
      <c r="G7" s="6"/>
      <c r="H7" s="6"/>
    </row>
    <row r="8" spans="1:8" x14ac:dyDescent="0.25">
      <c r="A8" s="22" t="str">
        <f>"Nettoomsättning"</f>
        <v>Nettoomsättning</v>
      </c>
      <c r="B8" s="6"/>
      <c r="C8" s="103"/>
      <c r="D8" s="90"/>
      <c r="E8" s="10"/>
      <c r="F8" s="10"/>
      <c r="G8" s="6"/>
      <c r="H8" s="6"/>
    </row>
    <row r="9" spans="1:8" x14ac:dyDescent="0.25">
      <c r="A9" s="24" t="str">
        <f>"3110"</f>
        <v>3110</v>
      </c>
      <c r="B9" s="5" t="str">
        <f>"Medlemsavgifter"</f>
        <v>Medlemsavgifter</v>
      </c>
      <c r="C9" s="104">
        <v>75000</v>
      </c>
      <c r="D9" s="91">
        <v>70200</v>
      </c>
      <c r="E9" s="10">
        <v>72350</v>
      </c>
      <c r="F9" s="10">
        <v>66725</v>
      </c>
      <c r="G9" s="10">
        <v>61750</v>
      </c>
      <c r="H9" s="10">
        <v>54600</v>
      </c>
    </row>
    <row r="10" spans="1:8" x14ac:dyDescent="0.25">
      <c r="A10" s="24" t="str">
        <f>"3120"</f>
        <v>3120</v>
      </c>
      <c r="B10" s="5" t="str">
        <f>"Intäkter kanothyra"</f>
        <v>Intäkter kanothyra</v>
      </c>
      <c r="C10" s="104">
        <v>15000</v>
      </c>
      <c r="D10" s="91">
        <v>17000</v>
      </c>
      <c r="E10" s="10">
        <v>13000</v>
      </c>
      <c r="F10" s="10">
        <v>14625</v>
      </c>
      <c r="G10" s="10">
        <v>12600</v>
      </c>
      <c r="H10" s="10">
        <v>12500</v>
      </c>
    </row>
    <row r="11" spans="1:8" x14ac:dyDescent="0.25">
      <c r="A11" s="24" t="str">
        <f>"3130"</f>
        <v>3130</v>
      </c>
      <c r="B11" s="5" t="str">
        <f>"Intäkter kanotplats"</f>
        <v>Intäkter kanotplats</v>
      </c>
      <c r="C11" s="104">
        <v>17000</v>
      </c>
      <c r="D11" s="91">
        <v>15000</v>
      </c>
      <c r="E11" s="10">
        <v>15750</v>
      </c>
      <c r="F11" s="10">
        <v>14100</v>
      </c>
      <c r="G11" s="10">
        <v>16800</v>
      </c>
      <c r="H11" s="10">
        <v>14300</v>
      </c>
    </row>
    <row r="12" spans="1:8" x14ac:dyDescent="0.25">
      <c r="A12" s="24" t="str">
        <f>"3140"</f>
        <v>3140</v>
      </c>
      <c r="B12" s="5" t="str">
        <f>"Intäkter kanotskola"</f>
        <v>Intäkter kanotskola</v>
      </c>
      <c r="C12" s="104">
        <v>20000</v>
      </c>
      <c r="D12" s="91">
        <v>20000</v>
      </c>
      <c r="E12" s="10">
        <v>24050</v>
      </c>
      <c r="F12" s="10">
        <v>17400</v>
      </c>
      <c r="G12" s="10">
        <v>24600</v>
      </c>
      <c r="H12" s="10">
        <v>8550</v>
      </c>
    </row>
    <row r="13" spans="1:8" x14ac:dyDescent="0.25">
      <c r="A13" s="24" t="str">
        <f>"3142"</f>
        <v>3142</v>
      </c>
      <c r="B13" s="5" t="str">
        <f>"Prova-på-paddling"</f>
        <v>Prova-på-paddling</v>
      </c>
      <c r="C13" s="104">
        <v>3000</v>
      </c>
      <c r="D13" s="91">
        <v>2000</v>
      </c>
      <c r="E13" s="10">
        <v>3200</v>
      </c>
      <c r="F13" s="10">
        <v>1500</v>
      </c>
      <c r="G13" s="10">
        <v>2100</v>
      </c>
      <c r="H13" s="10">
        <v>2590</v>
      </c>
    </row>
    <row r="14" spans="1:8" x14ac:dyDescent="0.25">
      <c r="A14" s="24" t="str">
        <f>"3150"</f>
        <v>3150</v>
      </c>
      <c r="B14" s="5" t="str">
        <f>"Intäkter båtplats"</f>
        <v>Intäkter båtplats</v>
      </c>
      <c r="C14" s="104">
        <v>12500</v>
      </c>
      <c r="D14" s="91">
        <v>2000</v>
      </c>
      <c r="E14" s="10">
        <v>12000</v>
      </c>
      <c r="F14" s="10">
        <v>0</v>
      </c>
      <c r="G14" s="10">
        <v>3000</v>
      </c>
      <c r="H14" s="10">
        <v>3000</v>
      </c>
    </row>
    <row r="15" spans="1:8" x14ac:dyDescent="0.25">
      <c r="A15" s="24" t="str">
        <f>"3210"</f>
        <v>3210</v>
      </c>
      <c r="B15" s="44" t="str">
        <f>"Intäkter tävling/transport"</f>
        <v>Intäkter tävling/transport</v>
      </c>
      <c r="C15" s="104"/>
      <c r="D15" s="92"/>
      <c r="E15" s="10"/>
      <c r="F15" s="10">
        <v>0</v>
      </c>
      <c r="G15" s="10">
        <v>0</v>
      </c>
      <c r="H15" s="10">
        <v>0</v>
      </c>
    </row>
    <row r="16" spans="1:8" x14ac:dyDescent="0.25">
      <c r="A16" s="24" t="str">
        <f>"3211"</f>
        <v>3211</v>
      </c>
      <c r="B16" s="5" t="str">
        <f>"Anmälningsavgifter"</f>
        <v>Anmälningsavgifter</v>
      </c>
      <c r="C16" s="104">
        <v>10000</v>
      </c>
      <c r="D16" s="91">
        <v>12000</v>
      </c>
      <c r="E16" s="10">
        <v>9500</v>
      </c>
      <c r="F16" s="10">
        <v>12360.95</v>
      </c>
      <c r="G16" s="10">
        <v>8957.94</v>
      </c>
      <c r="H16" s="10">
        <v>12290</v>
      </c>
    </row>
    <row r="17" spans="1:8" x14ac:dyDescent="0.25">
      <c r="A17" s="24" t="str">
        <f>"3212"</f>
        <v>3212</v>
      </c>
      <c r="B17" s="5" t="str">
        <f>"Transportavgift"</f>
        <v>Transportavgift</v>
      </c>
      <c r="C17" s="104">
        <v>2000</v>
      </c>
      <c r="D17" s="91"/>
      <c r="E17" s="10">
        <v>600</v>
      </c>
      <c r="F17" s="10">
        <v>2320</v>
      </c>
      <c r="G17" s="10">
        <v>4524</v>
      </c>
      <c r="H17" s="10">
        <v>5750</v>
      </c>
    </row>
    <row r="18" spans="1:8" x14ac:dyDescent="0.25">
      <c r="A18" s="24" t="str">
        <f>"3213"</f>
        <v>3213</v>
      </c>
      <c r="B18" s="5" t="str">
        <f>"Kost och logi under tävlingar"</f>
        <v>Kost och logi under tävlingar</v>
      </c>
      <c r="C18" s="104"/>
      <c r="D18" s="91"/>
      <c r="E18" s="10">
        <v>11950</v>
      </c>
      <c r="F18" s="10">
        <v>420</v>
      </c>
      <c r="G18" s="10">
        <v>1818</v>
      </c>
      <c r="H18" s="10">
        <v>2846</v>
      </c>
    </row>
    <row r="19" spans="1:8" x14ac:dyDescent="0.25">
      <c r="A19" s="24">
        <v>3214</v>
      </c>
      <c r="B19" s="6" t="s">
        <v>9</v>
      </c>
      <c r="C19" s="104"/>
      <c r="D19" s="91"/>
      <c r="E19" s="10"/>
      <c r="F19" s="10">
        <v>1675</v>
      </c>
      <c r="G19" s="10">
        <v>1245</v>
      </c>
      <c r="H19" s="10">
        <v>1300</v>
      </c>
    </row>
    <row r="20" spans="1:8" x14ac:dyDescent="0.25">
      <c r="A20" s="24" t="str">
        <f>"3220"</f>
        <v>3220</v>
      </c>
      <c r="B20" s="44" t="str">
        <f>"Intäkter läger"</f>
        <v>Intäkter läger</v>
      </c>
      <c r="C20" s="104"/>
      <c r="D20" s="92"/>
      <c r="E20" s="10"/>
      <c r="F20" s="10">
        <v>0</v>
      </c>
      <c r="G20" s="10">
        <v>0</v>
      </c>
      <c r="H20" s="10">
        <v>835</v>
      </c>
    </row>
    <row r="21" spans="1:8" x14ac:dyDescent="0.25">
      <c r="A21" s="24" t="str">
        <f>"3221"</f>
        <v>3221</v>
      </c>
      <c r="B21" s="5" t="s">
        <v>10</v>
      </c>
      <c r="C21" s="104">
        <v>5000</v>
      </c>
      <c r="D21" s="91">
        <v>0</v>
      </c>
      <c r="E21" s="10">
        <v>5800</v>
      </c>
      <c r="F21" s="10">
        <v>10900</v>
      </c>
      <c r="G21" s="10">
        <v>6390</v>
      </c>
      <c r="H21" s="10"/>
    </row>
    <row r="22" spans="1:8" x14ac:dyDescent="0.25">
      <c r="A22" s="24" t="s">
        <v>11</v>
      </c>
      <c r="B22" s="5" t="s">
        <v>12</v>
      </c>
      <c r="C22" s="104"/>
      <c r="D22" s="91"/>
      <c r="E22" s="10"/>
      <c r="F22" s="10">
        <v>400</v>
      </c>
      <c r="G22" s="10">
        <v>0</v>
      </c>
      <c r="H22" s="10">
        <v>112</v>
      </c>
    </row>
    <row r="23" spans="1:8" x14ac:dyDescent="0.25">
      <c r="A23" s="24" t="str">
        <f>"3223"</f>
        <v>3223</v>
      </c>
      <c r="B23" s="5" t="str">
        <f>"Intäkter SM läger"</f>
        <v>Intäkter SM läger</v>
      </c>
      <c r="C23" s="104">
        <v>15000</v>
      </c>
      <c r="D23" s="91">
        <v>22500</v>
      </c>
      <c r="E23" s="10">
        <v>11200</v>
      </c>
      <c r="F23" s="10">
        <v>11700</v>
      </c>
      <c r="G23" s="10">
        <v>15000</v>
      </c>
      <c r="H23" s="10">
        <v>19215</v>
      </c>
    </row>
    <row r="24" spans="1:8" x14ac:dyDescent="0.25">
      <c r="A24" s="24" t="s">
        <v>13</v>
      </c>
      <c r="B24" s="5" t="s">
        <v>14</v>
      </c>
      <c r="C24" s="104">
        <v>8000</v>
      </c>
      <c r="D24" s="91">
        <v>9000</v>
      </c>
      <c r="E24" s="10">
        <v>6734</v>
      </c>
      <c r="F24" s="10"/>
      <c r="G24" s="10"/>
      <c r="H24" s="10"/>
    </row>
    <row r="25" spans="1:8" x14ac:dyDescent="0.25">
      <c r="A25" s="24" t="str">
        <f>"3310"</f>
        <v>3310</v>
      </c>
      <c r="B25" s="5" t="str">
        <f>"Bingolotto"</f>
        <v>Bingolotto</v>
      </c>
      <c r="C25" s="104">
        <v>1000</v>
      </c>
      <c r="D25" s="91">
        <v>3000</v>
      </c>
      <c r="E25" s="10">
        <v>1404</v>
      </c>
      <c r="F25" s="10">
        <v>3441</v>
      </c>
      <c r="G25" s="10">
        <v>5110</v>
      </c>
      <c r="H25" s="10">
        <v>5992</v>
      </c>
    </row>
    <row r="26" spans="1:8" x14ac:dyDescent="0.25">
      <c r="A26" s="24" t="str">
        <f>"3320"</f>
        <v>3320</v>
      </c>
      <c r="B26" s="5" t="str">
        <f>"Övrig lotteriverksamhet"</f>
        <v>Övrig lotteriverksamhet</v>
      </c>
      <c r="C26" s="104"/>
      <c r="D26" s="91">
        <v>0</v>
      </c>
      <c r="E26" s="10">
        <v>1430</v>
      </c>
      <c r="F26" s="10">
        <v>2410</v>
      </c>
      <c r="G26" s="10">
        <v>2260</v>
      </c>
      <c r="H26" s="10"/>
    </row>
    <row r="27" spans="1:8" x14ac:dyDescent="0.25">
      <c r="A27" s="24" t="s">
        <v>15</v>
      </c>
      <c r="B27" s="5" t="s">
        <v>16</v>
      </c>
      <c r="C27" s="104"/>
      <c r="D27" s="91">
        <v>0</v>
      </c>
      <c r="E27" s="10"/>
      <c r="F27" s="10"/>
      <c r="G27" s="10"/>
      <c r="H27" s="10">
        <v>22107</v>
      </c>
    </row>
    <row r="28" spans="1:8" x14ac:dyDescent="0.25">
      <c r="A28" s="24" t="str">
        <f>"3420"</f>
        <v>3420</v>
      </c>
      <c r="B28" s="5" t="str">
        <f>"Intäkter Sponsorer"</f>
        <v>Intäkter Sponsorer</v>
      </c>
      <c r="C28" s="104">
        <v>40000</v>
      </c>
      <c r="D28" s="91">
        <v>40000</v>
      </c>
      <c r="E28" s="10">
        <v>87700</v>
      </c>
      <c r="F28" s="10">
        <v>46000</v>
      </c>
      <c r="G28" s="10">
        <v>123500</v>
      </c>
      <c r="H28" s="10">
        <v>12500</v>
      </c>
    </row>
    <row r="29" spans="1:8" x14ac:dyDescent="0.25">
      <c r="A29" s="24" t="str">
        <f>"3421"</f>
        <v>3421</v>
      </c>
      <c r="B29" s="5" t="s">
        <v>17</v>
      </c>
      <c r="C29" s="104">
        <v>20000</v>
      </c>
      <c r="D29" s="91">
        <v>15000</v>
      </c>
      <c r="E29" s="10">
        <v>20000</v>
      </c>
      <c r="F29" s="10">
        <v>131800</v>
      </c>
      <c r="G29" s="10">
        <v>38000</v>
      </c>
      <c r="H29" s="10">
        <v>28000</v>
      </c>
    </row>
    <row r="30" spans="1:8" x14ac:dyDescent="0.25">
      <c r="A30" s="24" t="s">
        <v>18</v>
      </c>
      <c r="B30" s="5" t="s">
        <v>19</v>
      </c>
      <c r="C30" s="104"/>
      <c r="D30" s="91">
        <v>0</v>
      </c>
      <c r="E30" s="10">
        <v>35000</v>
      </c>
      <c r="F30" s="10">
        <v>13000</v>
      </c>
      <c r="G30" s="10"/>
      <c r="H30" s="10"/>
    </row>
    <row r="31" spans="1:8" x14ac:dyDescent="0.25">
      <c r="A31" s="24" t="str">
        <f>"3430"</f>
        <v>3430</v>
      </c>
      <c r="B31" s="5" t="str">
        <f>"Intäkter föräldrarföreningen"</f>
        <v>Intäkter föräldrarföreningen</v>
      </c>
      <c r="C31" s="104">
        <v>2000</v>
      </c>
      <c r="D31" s="91">
        <v>15000</v>
      </c>
      <c r="E31" s="10">
        <v>15000</v>
      </c>
      <c r="F31" s="10">
        <v>15500</v>
      </c>
      <c r="G31" s="10">
        <v>15700.33</v>
      </c>
      <c r="H31" s="10">
        <v>0</v>
      </c>
    </row>
    <row r="32" spans="1:8" x14ac:dyDescent="0.25">
      <c r="A32" s="24" t="str">
        <f>"3520"</f>
        <v>3520</v>
      </c>
      <c r="B32" s="5" t="str">
        <f>"Intäkter Kanotförsäkring"</f>
        <v>Intäkter Kanotförsäkring</v>
      </c>
      <c r="C32" s="104">
        <v>6000</v>
      </c>
      <c r="D32" s="91">
        <v>8000</v>
      </c>
      <c r="E32" s="10">
        <v>5976</v>
      </c>
      <c r="F32" s="10">
        <v>7016</v>
      </c>
      <c r="G32" s="10">
        <v>12551.33</v>
      </c>
      <c r="H32" s="10">
        <v>4850</v>
      </c>
    </row>
    <row r="33" spans="1:11" x14ac:dyDescent="0.25">
      <c r="A33" s="24" t="s">
        <v>95</v>
      </c>
      <c r="B33" s="5" t="s">
        <v>96</v>
      </c>
      <c r="C33" s="104"/>
      <c r="D33" s="91">
        <v>0</v>
      </c>
      <c r="E33" s="10"/>
      <c r="F33" s="10">
        <v>720</v>
      </c>
      <c r="G33" s="10"/>
      <c r="H33" s="10"/>
    </row>
    <row r="34" spans="1:11" x14ac:dyDescent="0.25">
      <c r="A34" s="24" t="str">
        <f>"3710"</f>
        <v>3710</v>
      </c>
      <c r="B34" s="5" t="str">
        <f>"Kommunala bidrag"</f>
        <v>Kommunala bidrag</v>
      </c>
      <c r="C34" s="104">
        <v>65000</v>
      </c>
      <c r="D34" s="91">
        <v>50000</v>
      </c>
      <c r="E34" s="10">
        <v>62752</v>
      </c>
      <c r="F34" s="10">
        <v>49944</v>
      </c>
      <c r="G34" s="10">
        <v>60337</v>
      </c>
      <c r="H34" s="10">
        <v>41591</v>
      </c>
    </row>
    <row r="35" spans="1:11" x14ac:dyDescent="0.25">
      <c r="A35" s="24" t="str">
        <f>"3730"</f>
        <v>3730</v>
      </c>
      <c r="B35" s="5" t="str">
        <f>"LOK-stöd Riksidrottsförbundet"</f>
        <v>LOK-stöd Riksidrottsförbundet</v>
      </c>
      <c r="C35" s="104">
        <v>40000</v>
      </c>
      <c r="D35" s="91">
        <v>33000</v>
      </c>
      <c r="E35" s="10">
        <v>37396</v>
      </c>
      <c r="F35" s="10">
        <v>35358.68</v>
      </c>
      <c r="G35" s="10">
        <v>33200.36</v>
      </c>
      <c r="H35" s="10">
        <v>30560.16</v>
      </c>
    </row>
    <row r="36" spans="1:11" x14ac:dyDescent="0.25">
      <c r="A36" s="24" t="s">
        <v>22</v>
      </c>
      <c r="B36" s="5" t="s">
        <v>23</v>
      </c>
      <c r="C36" s="104"/>
      <c r="D36" s="91">
        <v>0</v>
      </c>
      <c r="E36" s="10"/>
      <c r="F36" s="10"/>
      <c r="G36" s="10"/>
      <c r="H36" s="10">
        <v>20000</v>
      </c>
    </row>
    <row r="37" spans="1:11" x14ac:dyDescent="0.25">
      <c r="A37" s="24" t="str">
        <f>"3790"</f>
        <v>3790</v>
      </c>
      <c r="B37" s="5" t="s">
        <v>97</v>
      </c>
      <c r="C37" s="104">
        <v>4000</v>
      </c>
      <c r="D37" s="91">
        <v>5000</v>
      </c>
      <c r="E37" s="10">
        <v>6500</v>
      </c>
      <c r="F37" s="10">
        <v>122</v>
      </c>
      <c r="G37" s="10">
        <v>43544</v>
      </c>
      <c r="H37" s="10">
        <v>3082.5</v>
      </c>
      <c r="K37" s="4"/>
    </row>
    <row r="38" spans="1:11" x14ac:dyDescent="0.25">
      <c r="A38" s="26"/>
      <c r="B38" s="6"/>
      <c r="C38" s="104"/>
      <c r="D38" s="91"/>
      <c r="E38" s="10"/>
      <c r="F38" s="10"/>
      <c r="G38" s="10"/>
      <c r="H38" s="10"/>
    </row>
    <row r="39" spans="1:11" s="1" customFormat="1" ht="15.75" thickBot="1" x14ac:dyDescent="0.3">
      <c r="A39" s="27" t="str">
        <f>"S:a Nettoomsättning"</f>
        <v>S:a Nettoomsättning</v>
      </c>
      <c r="B39" s="14"/>
      <c r="C39" s="107">
        <f>SUM(C9:C37)</f>
        <v>360500</v>
      </c>
      <c r="D39" s="93">
        <f>SUM(D9:D37)</f>
        <v>338700</v>
      </c>
      <c r="E39" s="28">
        <f>SUM(E9:E38)</f>
        <v>459292</v>
      </c>
      <c r="F39" s="28">
        <f>SUM(F9:F38)</f>
        <v>459437.63</v>
      </c>
      <c r="G39" s="28">
        <f>SUM(G9:G38)</f>
        <v>492987.96</v>
      </c>
      <c r="H39" s="28">
        <f>SUM(H9:H38)</f>
        <v>306570.65999999997</v>
      </c>
      <c r="K39" s="120"/>
    </row>
    <row r="40" spans="1:11" x14ac:dyDescent="0.25">
      <c r="A40" s="19"/>
      <c r="B40" s="20"/>
      <c r="C40" s="106"/>
      <c r="D40" s="94"/>
      <c r="E40" s="30"/>
      <c r="F40" s="30"/>
      <c r="G40" s="30"/>
      <c r="H40" s="30"/>
    </row>
    <row r="41" spans="1:11" x14ac:dyDescent="0.25">
      <c r="A41" s="22" t="str">
        <f>"Aktiverat arbete för egen räkning"</f>
        <v>Aktiverat arbete för egen räkning</v>
      </c>
      <c r="B41" s="6"/>
      <c r="C41" s="104"/>
      <c r="D41" s="95"/>
      <c r="E41" s="10"/>
      <c r="F41" s="10"/>
      <c r="G41" s="10"/>
      <c r="H41" s="10"/>
    </row>
    <row r="42" spans="1:11" x14ac:dyDescent="0.25">
      <c r="A42" s="24" t="s">
        <v>25</v>
      </c>
      <c r="B42" s="6" t="s">
        <v>26</v>
      </c>
      <c r="C42" s="104"/>
      <c r="D42" s="91">
        <v>0</v>
      </c>
      <c r="E42" s="10"/>
      <c r="F42" s="10"/>
      <c r="G42" s="10">
        <v>10541.06</v>
      </c>
      <c r="H42" s="10">
        <v>10035</v>
      </c>
    </row>
    <row r="43" spans="1:11" x14ac:dyDescent="0.25">
      <c r="A43" s="24" t="str">
        <f>"3813"</f>
        <v>3813</v>
      </c>
      <c r="B43" s="5" t="str">
        <f>"Uthyrning av idrottsanläggning"</f>
        <v>Uthyrning av idrottsanläggning</v>
      </c>
      <c r="C43" s="104">
        <v>8000</v>
      </c>
      <c r="D43" s="91">
        <v>8000</v>
      </c>
      <c r="E43" s="10">
        <v>2000</v>
      </c>
      <c r="F43" s="10"/>
      <c r="G43" s="10">
        <v>8000</v>
      </c>
      <c r="H43" s="10">
        <v>8650</v>
      </c>
    </row>
    <row r="44" spans="1:11" x14ac:dyDescent="0.25">
      <c r="A44" s="26"/>
      <c r="B44" s="6"/>
      <c r="C44" s="104"/>
      <c r="D44" s="95"/>
      <c r="E44" s="10"/>
      <c r="F44" s="10"/>
      <c r="G44" s="10"/>
      <c r="H44" s="10"/>
    </row>
    <row r="45" spans="1:11" s="1" customFormat="1" ht="15.75" thickBot="1" x14ac:dyDescent="0.3">
      <c r="A45" s="27" t="str">
        <f>"S:a Aktiverat arbete för egen räkning"</f>
        <v>S:a Aktiverat arbete för egen räkning</v>
      </c>
      <c r="B45" s="14"/>
      <c r="C45" s="105">
        <f>SUM(C42:C43)</f>
        <v>8000</v>
      </c>
      <c r="D45" s="93">
        <f>SUM(D42:D44)</f>
        <v>8000</v>
      </c>
      <c r="E45" s="28">
        <f>SUM(E42:E44)</f>
        <v>2000</v>
      </c>
      <c r="F45" s="28">
        <f>SUM(F42:F43)</f>
        <v>0</v>
      </c>
      <c r="G45" s="28">
        <f>SUM(G42:G44)</f>
        <v>18541.059999999998</v>
      </c>
      <c r="H45" s="28">
        <f>SUM(H42:H44)</f>
        <v>18685</v>
      </c>
    </row>
    <row r="46" spans="1:11" x14ac:dyDescent="0.25">
      <c r="A46" s="19"/>
      <c r="B46" s="20"/>
      <c r="C46" s="106"/>
      <c r="D46" s="94"/>
      <c r="E46" s="30"/>
      <c r="F46" s="30"/>
      <c r="G46" s="30"/>
      <c r="H46" s="30"/>
    </row>
    <row r="47" spans="1:11" x14ac:dyDescent="0.25">
      <c r="A47" s="22" t="str">
        <f>"Övriga rörelseintäkter"</f>
        <v>Övriga rörelseintäkter</v>
      </c>
      <c r="B47" s="6"/>
      <c r="C47" s="104"/>
      <c r="D47" s="95"/>
      <c r="E47" s="10"/>
      <c r="F47" s="10"/>
      <c r="G47" s="10"/>
      <c r="H47" s="10"/>
    </row>
    <row r="48" spans="1:11" x14ac:dyDescent="0.25">
      <c r="A48" s="24" t="str">
        <f>"3990"</f>
        <v>3990</v>
      </c>
      <c r="B48" s="5" t="str">
        <f>"Övr ersättn och intäkter"</f>
        <v>Övr ersättn och intäkter</v>
      </c>
      <c r="C48" s="104"/>
      <c r="D48" s="91"/>
      <c r="E48" s="10">
        <v>5500</v>
      </c>
      <c r="F48" s="10">
        <v>6126</v>
      </c>
      <c r="G48" s="10">
        <v>15361</v>
      </c>
      <c r="H48" s="10">
        <v>27510</v>
      </c>
    </row>
    <row r="49" spans="1:59" x14ac:dyDescent="0.25">
      <c r="A49" s="24" t="str">
        <f>"3991"</f>
        <v>3991</v>
      </c>
      <c r="B49" s="5" t="str">
        <f>"Team Porto"</f>
        <v>Team Porto</v>
      </c>
      <c r="C49" s="104"/>
      <c r="D49" s="91"/>
      <c r="E49" s="10">
        <v>0</v>
      </c>
      <c r="F49" s="10"/>
      <c r="G49" s="10">
        <v>1500</v>
      </c>
      <c r="H49" s="10">
        <v>0</v>
      </c>
    </row>
    <row r="50" spans="1:59" x14ac:dyDescent="0.25">
      <c r="A50" s="24" t="str">
        <f>"3992"</f>
        <v>3992</v>
      </c>
      <c r="B50" s="5" t="s">
        <v>98</v>
      </c>
      <c r="C50" s="104"/>
      <c r="D50" s="91"/>
      <c r="E50" s="10">
        <v>6160</v>
      </c>
      <c r="F50" s="10">
        <v>9370</v>
      </c>
      <c r="G50" s="10">
        <v>10010</v>
      </c>
      <c r="H50" s="10">
        <v>-5998</v>
      </c>
    </row>
    <row r="51" spans="1:59" x14ac:dyDescent="0.25">
      <c r="A51" s="118">
        <v>3680</v>
      </c>
      <c r="B51" s="6" t="s">
        <v>29</v>
      </c>
      <c r="C51" s="104"/>
      <c r="D51" s="95"/>
      <c r="E51" s="10"/>
      <c r="F51" s="10"/>
      <c r="G51" s="10"/>
      <c r="H51" s="10"/>
    </row>
    <row r="52" spans="1:59" s="1" customFormat="1" ht="15.75" thickBot="1" x14ac:dyDescent="0.3">
      <c r="A52" s="27" t="str">
        <f>"S:a Övriga rörelseintäkter"</f>
        <v>S:a Övriga rörelseintäkter</v>
      </c>
      <c r="B52" s="14"/>
      <c r="C52" s="105">
        <f>SUM(C48:C51)</f>
        <v>0</v>
      </c>
      <c r="D52" s="93">
        <f t="shared" ref="D52:H52" si="0">SUM(D48:D51)</f>
        <v>0</v>
      </c>
      <c r="E52" s="28">
        <f t="shared" si="0"/>
        <v>11660</v>
      </c>
      <c r="F52" s="28">
        <f t="shared" si="0"/>
        <v>15496</v>
      </c>
      <c r="G52" s="28">
        <f t="shared" si="0"/>
        <v>26871</v>
      </c>
      <c r="H52" s="28">
        <f t="shared" si="0"/>
        <v>21512</v>
      </c>
    </row>
    <row r="53" spans="1:59" x14ac:dyDescent="0.25">
      <c r="A53" s="19"/>
      <c r="B53" s="20"/>
      <c r="C53" s="106"/>
      <c r="D53" s="94"/>
      <c r="E53" s="30"/>
      <c r="F53" s="30"/>
      <c r="G53" s="30"/>
      <c r="H53" s="30"/>
    </row>
    <row r="54" spans="1:59" x14ac:dyDescent="0.25">
      <c r="A54" s="26"/>
      <c r="B54" s="6"/>
      <c r="C54" s="104"/>
      <c r="D54" s="95"/>
      <c r="E54" s="10"/>
      <c r="F54" s="10"/>
      <c r="G54" s="10"/>
      <c r="H54" s="10"/>
    </row>
    <row r="55" spans="1:59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12">
        <f>C39+C45+C52</f>
        <v>368500</v>
      </c>
      <c r="D55" s="111">
        <f t="shared" ref="D55:H55" si="1">D39+D45+D52</f>
        <v>346700</v>
      </c>
      <c r="E55" s="34">
        <f t="shared" si="1"/>
        <v>472952</v>
      </c>
      <c r="F55" s="34">
        <f t="shared" si="1"/>
        <v>474933.63</v>
      </c>
      <c r="G55" s="34">
        <f t="shared" si="1"/>
        <v>538400.02</v>
      </c>
      <c r="H55" s="34">
        <f t="shared" si="1"/>
        <v>346767.66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5">
      <c r="A56" s="19"/>
      <c r="B56" s="20"/>
      <c r="C56" s="106"/>
      <c r="D56" s="94"/>
      <c r="E56" s="30"/>
      <c r="F56" s="30"/>
      <c r="G56" s="30"/>
      <c r="H56" s="30"/>
    </row>
    <row r="57" spans="1:59" x14ac:dyDescent="0.25">
      <c r="A57" s="22" t="str">
        <f>"Rörelsens kostnader"</f>
        <v>Rörelsens kostnader</v>
      </c>
      <c r="B57" s="6"/>
      <c r="C57" s="104"/>
      <c r="D57" s="95"/>
      <c r="E57" s="10"/>
      <c r="F57" s="10"/>
      <c r="G57" s="10"/>
      <c r="H57" s="10"/>
    </row>
    <row r="58" spans="1:59" x14ac:dyDescent="0.25">
      <c r="A58" s="22" t="str">
        <f>"Råvaror och förnödenheter mm"</f>
        <v>Råvaror och förnödenheter mm</v>
      </c>
      <c r="B58" s="6"/>
      <c r="C58" s="104"/>
      <c r="D58" s="95"/>
      <c r="E58" s="10"/>
      <c r="F58" s="10"/>
      <c r="G58" s="10"/>
      <c r="H58" s="10"/>
    </row>
    <row r="59" spans="1:59" x14ac:dyDescent="0.25">
      <c r="A59" s="24" t="str">
        <f>"4010"</f>
        <v>4010</v>
      </c>
      <c r="B59" s="5" t="str">
        <f>"Tävlingskostnader"</f>
        <v>Tävlingskostnader</v>
      </c>
      <c r="C59" s="104"/>
      <c r="D59" s="91"/>
      <c r="E59" s="56"/>
      <c r="F59" s="56"/>
      <c r="G59" s="10">
        <v>0</v>
      </c>
      <c r="H59" s="10">
        <v>-1005</v>
      </c>
    </row>
    <row r="60" spans="1:59" x14ac:dyDescent="0.25">
      <c r="A60" s="24" t="str">
        <f>"4011"</f>
        <v>4011</v>
      </c>
      <c r="B60" s="5" t="str">
        <f>"Anmälningsavgifter"</f>
        <v>Anmälningsavgifter</v>
      </c>
      <c r="C60" s="104">
        <v>-35000</v>
      </c>
      <c r="D60" s="91">
        <v>-43000</v>
      </c>
      <c r="E60" s="10">
        <v>-34575</v>
      </c>
      <c r="F60" s="10">
        <v>-41560</v>
      </c>
      <c r="G60" s="10">
        <v>-45206</v>
      </c>
      <c r="H60" s="10">
        <v>-43670.54</v>
      </c>
    </row>
    <row r="61" spans="1:59" x14ac:dyDescent="0.25">
      <c r="A61" s="24" t="str">
        <f>"4012"</f>
        <v>4012</v>
      </c>
      <c r="B61" s="5" t="str">
        <f>"transportkostnader"</f>
        <v>transportkostnader</v>
      </c>
      <c r="C61" s="104">
        <v>-10000</v>
      </c>
      <c r="D61" s="91">
        <v>-13000</v>
      </c>
      <c r="E61" s="10">
        <v>-2091</v>
      </c>
      <c r="F61" s="10">
        <v>-13186</v>
      </c>
      <c r="G61" s="10">
        <v>-25424</v>
      </c>
      <c r="H61" s="10">
        <v>-17624.8</v>
      </c>
    </row>
    <row r="62" spans="1:59" x14ac:dyDescent="0.25">
      <c r="A62" s="24" t="str">
        <f>"4013"</f>
        <v>4013</v>
      </c>
      <c r="B62" s="5" t="str">
        <f>"Kost och logi under tävlingar"</f>
        <v>Kost och logi under tävlingar</v>
      </c>
      <c r="C62" s="104"/>
      <c r="D62" s="91">
        <v>0</v>
      </c>
      <c r="E62" s="10">
        <v>-13460</v>
      </c>
      <c r="F62" s="10">
        <v>-9340</v>
      </c>
      <c r="G62" s="10">
        <v>-4616</v>
      </c>
      <c r="H62" s="10">
        <v>-3037</v>
      </c>
    </row>
    <row r="63" spans="1:59" x14ac:dyDescent="0.25">
      <c r="A63" s="24" t="str">
        <f>"4014"</f>
        <v>4014</v>
      </c>
      <c r="B63" s="5" t="str">
        <f>"Övriga tävlingskostnader"</f>
        <v>Övriga tävlingskostnader</v>
      </c>
      <c r="C63" s="104"/>
      <c r="D63" s="91">
        <v>0</v>
      </c>
      <c r="E63" s="10">
        <v>-2255</v>
      </c>
      <c r="F63" s="10">
        <v>-2210</v>
      </c>
      <c r="G63" s="10">
        <v>-4460</v>
      </c>
      <c r="H63" s="10">
        <v>-1900</v>
      </c>
    </row>
    <row r="64" spans="1:59" x14ac:dyDescent="0.25">
      <c r="A64" s="24" t="str">
        <f>"4020"</f>
        <v>4020</v>
      </c>
      <c r="B64" s="5" t="str">
        <f>"Lägerkostnader"</f>
        <v>Lägerkostnader</v>
      </c>
      <c r="C64" s="104">
        <v>-10000</v>
      </c>
      <c r="D64" s="91">
        <v>-10000</v>
      </c>
      <c r="E64" s="56">
        <v>-8872</v>
      </c>
      <c r="F64" s="56"/>
      <c r="G64" s="10">
        <v>-1100</v>
      </c>
      <c r="H64" s="10">
        <v>-5339</v>
      </c>
    </row>
    <row r="65" spans="1:8" x14ac:dyDescent="0.25">
      <c r="A65" s="24" t="str">
        <f>"4021"</f>
        <v>4021</v>
      </c>
      <c r="B65" s="5" t="str">
        <f>"Anmälningsavgifter, Läger"</f>
        <v>Anmälningsavgifter, Läger</v>
      </c>
      <c r="C65" s="104"/>
      <c r="D65" s="91"/>
      <c r="E65" s="10"/>
      <c r="F65" s="10">
        <v>-9550</v>
      </c>
      <c r="G65" s="10">
        <v>-17400</v>
      </c>
      <c r="H65" s="10">
        <v>-8035</v>
      </c>
    </row>
    <row r="66" spans="1:8" x14ac:dyDescent="0.25">
      <c r="A66" s="24" t="str">
        <f>"4022"</f>
        <v>4022</v>
      </c>
      <c r="B66" s="5" t="str">
        <f>"Transportkostnader, Läger"</f>
        <v>Transportkostnader, Läger</v>
      </c>
      <c r="C66" s="104"/>
      <c r="D66" s="91"/>
      <c r="E66" s="10"/>
      <c r="F66" s="10">
        <v>-1248.75</v>
      </c>
      <c r="G66" s="10">
        <v>-6040.5</v>
      </c>
      <c r="H66" s="10">
        <v>-4154</v>
      </c>
    </row>
    <row r="67" spans="1:8" x14ac:dyDescent="0.25">
      <c r="A67" s="24" t="str">
        <f>"4024"</f>
        <v>4024</v>
      </c>
      <c r="B67" s="5" t="str">
        <f>"SM läger"</f>
        <v>SM läger</v>
      </c>
      <c r="C67" s="104">
        <v>-50000</v>
      </c>
      <c r="D67" s="91">
        <v>-47500</v>
      </c>
      <c r="E67" s="10">
        <v>-28215</v>
      </c>
      <c r="F67" s="10">
        <v>-18672</v>
      </c>
      <c r="G67" s="10">
        <v>-28738</v>
      </c>
      <c r="H67" s="10">
        <v>-900</v>
      </c>
    </row>
    <row r="68" spans="1:8" x14ac:dyDescent="0.25">
      <c r="A68" s="24" t="s">
        <v>32</v>
      </c>
      <c r="B68" s="5" t="s">
        <v>33</v>
      </c>
      <c r="C68" s="104">
        <v>-50000</v>
      </c>
      <c r="D68" s="91">
        <v>-13600</v>
      </c>
      <c r="E68" s="10">
        <v>-56047</v>
      </c>
      <c r="F68" s="10"/>
      <c r="G68" s="10"/>
      <c r="H68" s="10"/>
    </row>
    <row r="69" spans="1:8" x14ac:dyDescent="0.25">
      <c r="A69" s="24" t="str">
        <f>"4110"</f>
        <v>4110</v>
      </c>
      <c r="B69" s="5" t="str">
        <f>"Kostnader Kanotskolan"</f>
        <v>Kostnader Kanotskolan</v>
      </c>
      <c r="C69" s="104">
        <v>-10000</v>
      </c>
      <c r="D69" s="91">
        <v>-6000</v>
      </c>
      <c r="E69" s="10">
        <v>-10761</v>
      </c>
      <c r="F69" s="10">
        <v>-7341</v>
      </c>
      <c r="G69" s="10">
        <v>-8001.58</v>
      </c>
      <c r="H69" s="10">
        <v>-33528</v>
      </c>
    </row>
    <row r="70" spans="1:8" x14ac:dyDescent="0.25">
      <c r="A70" s="24" t="str">
        <f>"4120"</f>
        <v>4120</v>
      </c>
      <c r="B70" s="5" t="str">
        <f>"Kostnad ungdomsverksamhet"</f>
        <v>Kostnad ungdomsverksamhet</v>
      </c>
      <c r="C70" s="104">
        <v>-12000</v>
      </c>
      <c r="D70" s="91"/>
      <c r="E70" s="10">
        <v>-11010</v>
      </c>
      <c r="F70" s="10">
        <v>-17340.04</v>
      </c>
      <c r="G70" s="10">
        <v>-17468</v>
      </c>
      <c r="H70" s="10">
        <v>-3600</v>
      </c>
    </row>
    <row r="71" spans="1:8" x14ac:dyDescent="0.25">
      <c r="A71" s="24" t="str">
        <f>"4210"</f>
        <v>4210</v>
      </c>
      <c r="B71" s="5" t="str">
        <f>"Kostnad styrketräning"</f>
        <v>Kostnad styrketräning</v>
      </c>
      <c r="C71" s="104"/>
      <c r="D71" s="91">
        <v>-1500</v>
      </c>
      <c r="E71" s="10">
        <v>-3410</v>
      </c>
      <c r="F71" s="10"/>
      <c r="G71" s="10">
        <v>0</v>
      </c>
      <c r="H71" s="10">
        <v>-1206</v>
      </c>
    </row>
    <row r="72" spans="1:8" x14ac:dyDescent="0.25">
      <c r="A72" s="24" t="str">
        <f>"4220"</f>
        <v>4220</v>
      </c>
      <c r="B72" s="5" t="s">
        <v>38</v>
      </c>
      <c r="C72" s="104">
        <v>-65000</v>
      </c>
      <c r="D72" s="91"/>
      <c r="E72" s="10">
        <v>-33278</v>
      </c>
      <c r="F72" s="10">
        <v>-172295</v>
      </c>
      <c r="G72" s="10">
        <v>-92241.06</v>
      </c>
      <c r="H72" s="10">
        <v>0</v>
      </c>
    </row>
    <row r="73" spans="1:8" x14ac:dyDescent="0.25">
      <c r="A73" s="24" t="str">
        <f>"4410"</f>
        <v>4410</v>
      </c>
      <c r="B73" s="5" t="str">
        <f>"Utgifter Skåneregattan"</f>
        <v>Utgifter Skåneregattan</v>
      </c>
      <c r="C73" s="104"/>
      <c r="D73" s="91"/>
      <c r="E73" s="10"/>
      <c r="F73" s="10">
        <v>-450</v>
      </c>
      <c r="G73" s="10">
        <v>-1141.8</v>
      </c>
      <c r="H73" s="10">
        <v>-56952</v>
      </c>
    </row>
    <row r="74" spans="1:8" x14ac:dyDescent="0.25">
      <c r="A74" s="24" t="s">
        <v>39</v>
      </c>
      <c r="B74" s="5" t="s">
        <v>40</v>
      </c>
      <c r="C74" s="104"/>
      <c r="D74" s="91"/>
      <c r="E74" s="10">
        <v>-3618</v>
      </c>
      <c r="F74" s="10">
        <v>-2323</v>
      </c>
      <c r="G74" s="10"/>
      <c r="H74" s="10"/>
    </row>
    <row r="75" spans="1:8" x14ac:dyDescent="0.25">
      <c r="A75" s="24" t="str">
        <f>"4610"</f>
        <v>4610</v>
      </c>
      <c r="B75" s="5" t="str">
        <f>"Mötesverksamhet"</f>
        <v>Mötesverksamhet</v>
      </c>
      <c r="C75" s="104">
        <v>-5000</v>
      </c>
      <c r="D75" s="91">
        <v>-5000</v>
      </c>
      <c r="E75" s="99">
        <v>-1906</v>
      </c>
      <c r="F75" s="10">
        <v>-5015</v>
      </c>
      <c r="G75" s="10">
        <v>-10973.5</v>
      </c>
      <c r="H75" s="10">
        <v>-7874.43</v>
      </c>
    </row>
    <row r="76" spans="1:8" x14ac:dyDescent="0.25">
      <c r="A76" s="24" t="s">
        <v>43</v>
      </c>
      <c r="B76" s="5" t="s">
        <v>44</v>
      </c>
      <c r="C76" s="104"/>
      <c r="D76" s="91"/>
      <c r="E76" s="10">
        <v>-10840</v>
      </c>
      <c r="F76" s="10">
        <v>-8620</v>
      </c>
      <c r="G76" s="10"/>
      <c r="H76" s="10"/>
    </row>
    <row r="77" spans="1:8" x14ac:dyDescent="0.25">
      <c r="A77" s="24" t="str">
        <f>"4710"</f>
        <v>4710</v>
      </c>
      <c r="B77" s="5" t="str">
        <f>"Märken och priser"</f>
        <v>Märken och priser</v>
      </c>
      <c r="C77" s="104">
        <v>-4000</v>
      </c>
      <c r="D77" s="91">
        <v>-3000</v>
      </c>
      <c r="E77" s="10">
        <v>-3790</v>
      </c>
      <c r="F77" s="10">
        <v>-2854</v>
      </c>
      <c r="G77" s="10">
        <v>-2967</v>
      </c>
      <c r="H77" s="10">
        <v>-4387</v>
      </c>
    </row>
    <row r="78" spans="1:8" x14ac:dyDescent="0.25">
      <c r="A78" s="24" t="str">
        <f>"4800"</f>
        <v>4800</v>
      </c>
      <c r="B78" s="5" t="str">
        <f>"Medlemmarnas pengar"</f>
        <v>Medlemmarnas pengar</v>
      </c>
      <c r="C78" s="104"/>
      <c r="D78" s="91"/>
      <c r="E78" s="10"/>
      <c r="F78" s="10"/>
      <c r="G78" s="10">
        <v>-10691</v>
      </c>
      <c r="H78" s="10">
        <v>-10035</v>
      </c>
    </row>
    <row r="79" spans="1:8" x14ac:dyDescent="0.25">
      <c r="A79" s="26"/>
      <c r="B79" s="6"/>
      <c r="C79" s="104"/>
      <c r="D79" s="95"/>
      <c r="E79" s="10"/>
      <c r="F79" s="10"/>
      <c r="G79" s="10"/>
      <c r="H79" s="10"/>
    </row>
    <row r="80" spans="1:8" s="1" customFormat="1" ht="15.75" thickBot="1" x14ac:dyDescent="0.3">
      <c r="A80" s="27" t="str">
        <f>"S:a Råvaror och förnödenheter mm"</f>
        <v>S:a Råvaror och förnödenheter mm</v>
      </c>
      <c r="B80" s="14"/>
      <c r="C80" s="105">
        <f>SUM(C59:C78)</f>
        <v>-251000</v>
      </c>
      <c r="D80" s="93">
        <f>SUM(D59:D78)</f>
        <v>-142600</v>
      </c>
      <c r="E80" s="55">
        <f>SUM(E59:E79)</f>
        <v>-224128</v>
      </c>
      <c r="F80" s="28">
        <f>SUM(F60:F79)</f>
        <v>-312004.79000000004</v>
      </c>
      <c r="G80" s="28">
        <f>SUM(G59:G79)</f>
        <v>-276468.43999999994</v>
      </c>
      <c r="H80" s="28">
        <f>SUM(H59:H79)</f>
        <v>-203247.77</v>
      </c>
    </row>
    <row r="81" spans="1:8" x14ac:dyDescent="0.25">
      <c r="A81" s="19"/>
      <c r="B81" s="20"/>
      <c r="C81" s="106"/>
      <c r="D81" s="94"/>
      <c r="E81" s="30"/>
      <c r="F81" s="30"/>
      <c r="G81" s="30"/>
      <c r="H81" s="30"/>
    </row>
    <row r="82" spans="1:8" x14ac:dyDescent="0.25">
      <c r="A82" s="26"/>
      <c r="B82" s="6"/>
      <c r="C82" s="104"/>
      <c r="D82" s="95"/>
      <c r="E82" s="10"/>
      <c r="F82" s="10"/>
      <c r="G82" s="10"/>
      <c r="H82" s="10"/>
    </row>
    <row r="83" spans="1:8" s="1" customFormat="1" ht="15.75" thickBot="1" x14ac:dyDescent="0.3">
      <c r="A83" s="27" t="str">
        <f>"Bruttovinst"</f>
        <v>Bruttovinst</v>
      </c>
      <c r="B83" s="14"/>
      <c r="C83" s="107">
        <f t="shared" ref="C83:H83" si="2">C55+C80</f>
        <v>117500</v>
      </c>
      <c r="D83" s="119">
        <f t="shared" si="2"/>
        <v>204100</v>
      </c>
      <c r="E83" s="28">
        <f t="shared" si="2"/>
        <v>248824</v>
      </c>
      <c r="F83" s="28">
        <f t="shared" si="2"/>
        <v>162928.83999999997</v>
      </c>
      <c r="G83" s="28">
        <f t="shared" si="2"/>
        <v>261931.58000000007</v>
      </c>
      <c r="H83" s="28">
        <f t="shared" si="2"/>
        <v>143519.88999999998</v>
      </c>
    </row>
    <row r="84" spans="1:8" x14ac:dyDescent="0.25">
      <c r="A84" s="19"/>
      <c r="B84" s="20"/>
      <c r="C84" s="106"/>
      <c r="D84" s="94"/>
      <c r="E84" s="30"/>
      <c r="F84" s="30"/>
      <c r="G84" s="30"/>
      <c r="H84" s="30"/>
    </row>
    <row r="85" spans="1:8" x14ac:dyDescent="0.25">
      <c r="A85" s="22" t="str">
        <f>"Övriga externa kostnader"</f>
        <v>Övriga externa kostnader</v>
      </c>
      <c r="B85" s="6"/>
      <c r="C85" s="104"/>
      <c r="D85" s="95"/>
      <c r="E85" s="10"/>
      <c r="F85" s="10"/>
      <c r="G85" s="10"/>
      <c r="H85" s="10"/>
    </row>
    <row r="86" spans="1:8" x14ac:dyDescent="0.25">
      <c r="A86" s="24" t="str">
        <f>"5110"</f>
        <v>5110</v>
      </c>
      <c r="B86" s="5" t="str">
        <f>"Arrende"</f>
        <v>Arrende</v>
      </c>
      <c r="C86" s="104">
        <v>-1700</v>
      </c>
      <c r="D86" s="91">
        <v>-1600</v>
      </c>
      <c r="E86" s="10">
        <v>-1637</v>
      </c>
      <c r="F86" s="10">
        <v>-1597</v>
      </c>
      <c r="G86" s="10">
        <v>-1579</v>
      </c>
      <c r="H86" s="10">
        <v>-1597</v>
      </c>
    </row>
    <row r="87" spans="1:8" x14ac:dyDescent="0.25">
      <c r="A87" s="24" t="str">
        <f>"5120"</f>
        <v>5120</v>
      </c>
      <c r="B87" s="5" t="str">
        <f>"Elektricitet"</f>
        <v>Elektricitet</v>
      </c>
      <c r="C87" s="104">
        <v>-28000</v>
      </c>
      <c r="D87" s="91">
        <v>-28000</v>
      </c>
      <c r="E87" s="10">
        <v>-21334</v>
      </c>
      <c r="F87" s="10">
        <v>-27177</v>
      </c>
      <c r="G87" s="10">
        <v>-28561</v>
      </c>
      <c r="H87" s="10">
        <v>-26956</v>
      </c>
    </row>
    <row r="88" spans="1:8" x14ac:dyDescent="0.25">
      <c r="A88" s="24" t="str">
        <f>"5140"</f>
        <v>5140</v>
      </c>
      <c r="B88" s="5" t="str">
        <f>"Vatten och sophämtning"</f>
        <v>Vatten och sophämtning</v>
      </c>
      <c r="C88" s="104">
        <v>-6500</v>
      </c>
      <c r="D88" s="91">
        <v>-6000</v>
      </c>
      <c r="E88" s="10">
        <v>-6077</v>
      </c>
      <c r="F88" s="10">
        <v>-5332</v>
      </c>
      <c r="G88" s="10">
        <v>-5798</v>
      </c>
      <c r="H88" s="10">
        <v>-9965</v>
      </c>
    </row>
    <row r="89" spans="1:8" x14ac:dyDescent="0.25">
      <c r="A89" s="24" t="str">
        <f>"5170"</f>
        <v>5170</v>
      </c>
      <c r="B89" s="5" t="str">
        <f>"Fastighetsunderhåll"</f>
        <v>Fastighetsunderhåll</v>
      </c>
      <c r="C89" s="104">
        <v>-45000</v>
      </c>
      <c r="D89" s="91">
        <v>-55000</v>
      </c>
      <c r="E89" s="10">
        <v>-3691</v>
      </c>
      <c r="F89" s="10">
        <v>-3825</v>
      </c>
      <c r="G89" s="10">
        <v>-15856</v>
      </c>
      <c r="H89" s="10">
        <v>-2568</v>
      </c>
    </row>
    <row r="90" spans="1:8" x14ac:dyDescent="0.25">
      <c r="A90" s="24" t="s">
        <v>103</v>
      </c>
      <c r="B90" s="5" t="s">
        <v>104</v>
      </c>
      <c r="C90" s="104"/>
      <c r="D90" s="91"/>
      <c r="E90" s="10">
        <v>-4528</v>
      </c>
      <c r="F90" s="10">
        <v>-2076</v>
      </c>
      <c r="G90" s="10"/>
      <c r="H90" s="10">
        <v>-101131.15</v>
      </c>
    </row>
    <row r="91" spans="1:8" x14ac:dyDescent="0.25">
      <c r="A91" s="24" t="str">
        <f>"5410"</f>
        <v>5410</v>
      </c>
      <c r="B91" s="5" t="str">
        <f>"Förbrukningsinventarier"</f>
        <v>Förbrukningsinventarier</v>
      </c>
      <c r="C91" s="104">
        <v>-1750</v>
      </c>
      <c r="D91" s="91">
        <v>-2000</v>
      </c>
      <c r="E91" s="10">
        <v>-992</v>
      </c>
      <c r="F91" s="10">
        <v>-618</v>
      </c>
      <c r="G91" s="10">
        <v>-3232.52</v>
      </c>
      <c r="H91" s="10">
        <v>-106</v>
      </c>
    </row>
    <row r="92" spans="1:8" x14ac:dyDescent="0.25">
      <c r="A92" s="24" t="str">
        <f>"5420"</f>
        <v>5420</v>
      </c>
      <c r="B92" s="5" t="str">
        <f>"Programvaror"</f>
        <v>Programvaror</v>
      </c>
      <c r="C92" s="104">
        <v>-1200</v>
      </c>
      <c r="D92" s="91">
        <v>-1000</v>
      </c>
      <c r="E92" s="10">
        <v>-1135</v>
      </c>
      <c r="F92" s="10">
        <v>-1075</v>
      </c>
      <c r="G92" s="10">
        <v>-1030</v>
      </c>
      <c r="H92" s="10">
        <v>-109</v>
      </c>
    </row>
    <row r="93" spans="1:8" x14ac:dyDescent="0.25">
      <c r="A93" s="24" t="str">
        <f>"5500"</f>
        <v>5500</v>
      </c>
      <c r="B93" s="5" t="str">
        <f>"Kanotunderhåll"</f>
        <v>Kanotunderhåll</v>
      </c>
      <c r="C93" s="104">
        <v>-10000</v>
      </c>
      <c r="D93" s="91">
        <v>-10000</v>
      </c>
      <c r="E93" s="10">
        <v>-1823</v>
      </c>
      <c r="F93" s="10">
        <v>-9680.2199999999993</v>
      </c>
      <c r="G93" s="10">
        <v>-7053.75</v>
      </c>
      <c r="H93" s="10">
        <v>-376</v>
      </c>
    </row>
    <row r="94" spans="1:8" x14ac:dyDescent="0.25">
      <c r="A94" s="24" t="str">
        <f>"5611"</f>
        <v>5611</v>
      </c>
      <c r="B94" s="5" t="str">
        <f>"Övrig Bensin"</f>
        <v>Övrig Bensin</v>
      </c>
      <c r="C94" s="104">
        <v>-3000</v>
      </c>
      <c r="D94" s="91">
        <v>-3000</v>
      </c>
      <c r="E94" s="10">
        <v>-664</v>
      </c>
      <c r="F94" s="10">
        <v>-1871.96</v>
      </c>
      <c r="G94" s="10">
        <v>-1083.4000000000001</v>
      </c>
      <c r="H94" s="10">
        <v>-31529</v>
      </c>
    </row>
    <row r="95" spans="1:8" x14ac:dyDescent="0.25">
      <c r="A95" s="24" t="str">
        <f>"5612"</f>
        <v>5612</v>
      </c>
      <c r="B95" s="5" t="str">
        <f>"Försäkring"</f>
        <v>Försäkring</v>
      </c>
      <c r="C95" s="104">
        <v>-38000</v>
      </c>
      <c r="D95" s="91">
        <v>-40000</v>
      </c>
      <c r="E95" s="10">
        <v>-36936</v>
      </c>
      <c r="F95" s="10">
        <v>-36897</v>
      </c>
      <c r="G95" s="10">
        <v>-38130</v>
      </c>
      <c r="H95" s="10">
        <v>-5272.64</v>
      </c>
    </row>
    <row r="96" spans="1:8" x14ac:dyDescent="0.25">
      <c r="A96" s="24" t="s">
        <v>52</v>
      </c>
      <c r="B96" s="5" t="s">
        <v>53</v>
      </c>
      <c r="C96" s="104">
        <v>-500</v>
      </c>
      <c r="D96" s="91"/>
      <c r="E96" s="10"/>
      <c r="F96" s="10">
        <v>-370</v>
      </c>
      <c r="G96" s="10">
        <v>-478</v>
      </c>
      <c r="H96" s="10"/>
    </row>
    <row r="97" spans="1:8" x14ac:dyDescent="0.25">
      <c r="A97" s="24" t="str">
        <f>"5614"</f>
        <v>5614</v>
      </c>
      <c r="B97" s="5" t="str">
        <f>"Reparation och Underhåll"</f>
        <v>Reparation och Underhåll</v>
      </c>
      <c r="C97" s="104"/>
      <c r="D97" s="91">
        <v>0</v>
      </c>
      <c r="E97" s="10">
        <v>-8985</v>
      </c>
      <c r="F97" s="10">
        <v>-53755</v>
      </c>
      <c r="G97" s="10">
        <v>-3823</v>
      </c>
      <c r="H97" s="10">
        <v>-1541</v>
      </c>
    </row>
    <row r="98" spans="1:8" x14ac:dyDescent="0.25">
      <c r="A98" s="24" t="str">
        <f>"5620"</f>
        <v>5620</v>
      </c>
      <c r="B98" s="5" t="str">
        <f>"Kostnader motobåt"</f>
        <v>Kostnader motobåt</v>
      </c>
      <c r="C98" s="104">
        <v>-5000</v>
      </c>
      <c r="D98" s="91">
        <v>-2000</v>
      </c>
      <c r="E98" s="10"/>
      <c r="F98" s="10">
        <v>-4230</v>
      </c>
      <c r="G98" s="10">
        <v>-72</v>
      </c>
      <c r="H98" s="10">
        <v>-2684</v>
      </c>
    </row>
    <row r="99" spans="1:8" x14ac:dyDescent="0.25">
      <c r="A99" s="24" t="s">
        <v>55</v>
      </c>
      <c r="B99" s="5" t="s">
        <v>56</v>
      </c>
      <c r="C99" s="104"/>
      <c r="D99" s="91"/>
      <c r="E99" s="10">
        <v>-31345</v>
      </c>
      <c r="F99" s="10">
        <v>-2577</v>
      </c>
      <c r="G99" s="10">
        <v>-40000</v>
      </c>
      <c r="H99" s="10"/>
    </row>
    <row r="100" spans="1:8" x14ac:dyDescent="0.25">
      <c r="A100" s="24" t="str">
        <f>"6110"</f>
        <v>6110</v>
      </c>
      <c r="B100" s="5" t="str">
        <f>"Kontorsmaterial"</f>
        <v>Kontorsmaterial</v>
      </c>
      <c r="C100" s="104">
        <v>-2000</v>
      </c>
      <c r="D100" s="91">
        <v>-2000</v>
      </c>
      <c r="E100" s="10">
        <v>-1193</v>
      </c>
      <c r="F100" s="10">
        <v>-1901</v>
      </c>
      <c r="G100" s="10">
        <v>-3241</v>
      </c>
      <c r="H100" s="10">
        <v>-4026.37</v>
      </c>
    </row>
    <row r="101" spans="1:8" x14ac:dyDescent="0.25">
      <c r="A101" s="24" t="str">
        <f>"6210"</f>
        <v>6210</v>
      </c>
      <c r="B101" s="5" t="str">
        <f>"Telefon"</f>
        <v>Telefon</v>
      </c>
      <c r="C101" s="104">
        <v>-3500</v>
      </c>
      <c r="D101" s="91">
        <v>-3000</v>
      </c>
      <c r="E101" s="10">
        <v>-2045</v>
      </c>
      <c r="F101" s="10">
        <v>-2666</v>
      </c>
      <c r="G101" s="10">
        <v>-2206</v>
      </c>
      <c r="H101" s="10">
        <v>-270</v>
      </c>
    </row>
    <row r="102" spans="1:8" x14ac:dyDescent="0.25">
      <c r="A102" s="24" t="str">
        <f>"6250"</f>
        <v>6250</v>
      </c>
      <c r="B102" s="5" t="str">
        <f>"Porto"</f>
        <v>Porto</v>
      </c>
      <c r="C102" s="104">
        <v>-1000</v>
      </c>
      <c r="D102" s="91">
        <v>-1000</v>
      </c>
      <c r="E102" s="10">
        <v>-629</v>
      </c>
      <c r="F102" s="10">
        <v>-627</v>
      </c>
      <c r="G102" s="10">
        <v>0</v>
      </c>
      <c r="H102" s="10">
        <v>0</v>
      </c>
    </row>
    <row r="103" spans="1:8" x14ac:dyDescent="0.25">
      <c r="A103" s="24" t="str">
        <f>"6570"</f>
        <v>6570</v>
      </c>
      <c r="B103" s="5" t="str">
        <f>"Bankkostnader"</f>
        <v>Bankkostnader</v>
      </c>
      <c r="C103" s="104">
        <v>-1250</v>
      </c>
      <c r="D103" s="91">
        <v>-4500</v>
      </c>
      <c r="E103" s="10">
        <v>-3250</v>
      </c>
      <c r="F103" s="10">
        <v>-4564</v>
      </c>
      <c r="G103" s="10">
        <v>-3287.5</v>
      </c>
      <c r="H103" s="10">
        <v>-1981.5</v>
      </c>
    </row>
    <row r="104" spans="1:8" x14ac:dyDescent="0.25">
      <c r="A104" s="24" t="str">
        <f>"6980"</f>
        <v>6980</v>
      </c>
      <c r="B104" s="5" t="str">
        <f>"Föreningsavgift /Licenser"</f>
        <v>Föreningsavgift /Licenser</v>
      </c>
      <c r="C104" s="104">
        <v>-23500</v>
      </c>
      <c r="D104" s="91">
        <v>-17000</v>
      </c>
      <c r="E104" s="10">
        <v>-19650</v>
      </c>
      <c r="F104" s="10">
        <v>-19072</v>
      </c>
      <c r="G104" s="10">
        <v>-2170</v>
      </c>
      <c r="H104" s="10">
        <v>-4577</v>
      </c>
    </row>
    <row r="105" spans="1:8" x14ac:dyDescent="0.25">
      <c r="A105" s="24" t="str">
        <f>"6990"</f>
        <v>6990</v>
      </c>
      <c r="B105" s="5" t="str">
        <f>"Övriga Kostnader"</f>
        <v>Övriga Kostnader</v>
      </c>
      <c r="C105" s="104">
        <v>-5000</v>
      </c>
      <c r="D105" s="91">
        <v>-8000</v>
      </c>
      <c r="E105" s="10">
        <v>-4063</v>
      </c>
      <c r="F105" s="10">
        <v>-7471</v>
      </c>
      <c r="G105" s="10">
        <v>-3260.33</v>
      </c>
      <c r="H105" s="10">
        <v>-20072.3</v>
      </c>
    </row>
    <row r="106" spans="1:8" x14ac:dyDescent="0.25">
      <c r="A106" s="24" t="str">
        <f>"6991"</f>
        <v>6991</v>
      </c>
      <c r="B106" s="5" t="str">
        <f>"Container"</f>
        <v>Container</v>
      </c>
      <c r="C106" s="104"/>
      <c r="D106" s="91"/>
      <c r="E106" s="10"/>
      <c r="F106" s="10"/>
      <c r="G106" s="10">
        <v>0</v>
      </c>
      <c r="H106" s="10">
        <v>-5562.5</v>
      </c>
    </row>
    <row r="107" spans="1:8" x14ac:dyDescent="0.25">
      <c r="A107" s="26"/>
      <c r="B107" s="6"/>
      <c r="C107" s="104"/>
      <c r="D107" s="91"/>
      <c r="E107" s="10"/>
      <c r="F107" s="10"/>
      <c r="G107" s="10"/>
      <c r="H107" s="10"/>
    </row>
    <row r="108" spans="1:8" s="1" customFormat="1" ht="15.75" thickBot="1" x14ac:dyDescent="0.3">
      <c r="A108" s="27" t="str">
        <f>"S:a Övriga externa kostnader"</f>
        <v>S:a Övriga externa kostnader</v>
      </c>
      <c r="B108" s="14"/>
      <c r="C108" s="105">
        <f>SUM(C86:C106)</f>
        <v>-176900</v>
      </c>
      <c r="D108" s="93">
        <f>SUM(D86:D106)</f>
        <v>-184100</v>
      </c>
      <c r="E108" s="55">
        <f>SUM(E86:E107)</f>
        <v>-149977</v>
      </c>
      <c r="F108" s="55">
        <f>SUM(F86:F107)</f>
        <v>-187382.18</v>
      </c>
      <c r="G108" s="28">
        <f>SUM(G86:G107)</f>
        <v>-160861.49999999997</v>
      </c>
      <c r="H108" s="28">
        <f>SUM(H86:H107)</f>
        <v>-220324.46</v>
      </c>
    </row>
    <row r="109" spans="1:8" s="1" customFormat="1" ht="15.75" thickBot="1" x14ac:dyDescent="0.3">
      <c r="A109" s="80"/>
      <c r="B109" s="81"/>
      <c r="C109" s="108"/>
      <c r="D109" s="96"/>
      <c r="E109" s="84"/>
      <c r="F109" s="84"/>
      <c r="G109" s="85"/>
      <c r="H109" s="85"/>
    </row>
    <row r="110" spans="1:8" x14ac:dyDescent="0.25">
      <c r="A110" s="19"/>
      <c r="B110" s="20"/>
      <c r="C110" s="106"/>
      <c r="D110" s="97"/>
      <c r="E110" s="30"/>
      <c r="F110" s="30"/>
      <c r="G110" s="30"/>
      <c r="H110" s="30"/>
    </row>
    <row r="111" spans="1:8" x14ac:dyDescent="0.25">
      <c r="A111" s="22" t="str">
        <f>"Personalkostnader"</f>
        <v>Personalkostnader</v>
      </c>
      <c r="B111" s="6"/>
      <c r="C111" s="104"/>
      <c r="D111" s="91"/>
      <c r="E111" s="10"/>
      <c r="F111" s="10"/>
      <c r="G111" s="10"/>
      <c r="H111" s="10"/>
    </row>
    <row r="112" spans="1:8" x14ac:dyDescent="0.25">
      <c r="A112" s="24" t="str">
        <f>"7110"</f>
        <v>7110</v>
      </c>
      <c r="B112" s="5" t="str">
        <f>"Träningsbidrag"</f>
        <v>Träningsbidrag</v>
      </c>
      <c r="C112" s="104">
        <v>-5000</v>
      </c>
      <c r="D112" s="91">
        <v>-8000</v>
      </c>
      <c r="E112" s="10">
        <v>-7600</v>
      </c>
      <c r="F112" s="10">
        <v>-8200</v>
      </c>
      <c r="G112" s="10">
        <v>0</v>
      </c>
      <c r="H112" s="10">
        <v>-2253</v>
      </c>
    </row>
    <row r="113" spans="1:59" x14ac:dyDescent="0.25">
      <c r="A113" s="24" t="s">
        <v>57</v>
      </c>
      <c r="B113" s="5" t="s">
        <v>58</v>
      </c>
      <c r="C113" s="104">
        <v>-1600</v>
      </c>
      <c r="D113" s="91"/>
      <c r="E113" s="10">
        <v>-1600</v>
      </c>
      <c r="F113" s="10"/>
      <c r="G113" s="10"/>
      <c r="H113" s="10"/>
    </row>
    <row r="114" spans="1:59" x14ac:dyDescent="0.25">
      <c r="A114" s="24" t="str">
        <f>"7210"</f>
        <v>7210</v>
      </c>
      <c r="B114" s="5" t="str">
        <f>"Resekostnads ersättning"</f>
        <v>Resekostnads ersättning</v>
      </c>
      <c r="C114" s="104">
        <v>-6000</v>
      </c>
      <c r="D114" s="91">
        <v>-4000</v>
      </c>
      <c r="E114" s="10">
        <v>-5381</v>
      </c>
      <c r="F114" s="10">
        <v>-4548</v>
      </c>
      <c r="G114" s="10">
        <v>0</v>
      </c>
      <c r="H114" s="10">
        <v>-11174.4</v>
      </c>
    </row>
    <row r="115" spans="1:59" x14ac:dyDescent="0.25">
      <c r="A115" s="24" t="str">
        <f>"7610"</f>
        <v>7610</v>
      </c>
      <c r="B115" s="5" t="str">
        <f>"Utbildning"</f>
        <v>Utbildning</v>
      </c>
      <c r="C115" s="104">
        <v>-8000</v>
      </c>
      <c r="D115" s="91">
        <v>-8000</v>
      </c>
      <c r="E115" s="10"/>
      <c r="F115" s="10">
        <v>-3530</v>
      </c>
      <c r="G115" s="10">
        <v>-6600</v>
      </c>
      <c r="H115" s="10">
        <v>-9105</v>
      </c>
    </row>
    <row r="116" spans="1:59" x14ac:dyDescent="0.25">
      <c r="A116" s="26"/>
      <c r="B116" s="6"/>
      <c r="C116" s="104"/>
      <c r="D116" s="91"/>
      <c r="E116" s="10"/>
      <c r="F116" s="10"/>
      <c r="G116" s="10"/>
      <c r="H116" s="10"/>
    </row>
    <row r="117" spans="1:59" s="1" customFormat="1" ht="15.75" thickBot="1" x14ac:dyDescent="0.3">
      <c r="A117" s="27" t="str">
        <f>"S:a Personalkostnader"</f>
        <v>S:a Personalkostnader</v>
      </c>
      <c r="B117" s="14"/>
      <c r="C117" s="107">
        <f>SUM(C112:C115)</f>
        <v>-20600</v>
      </c>
      <c r="D117" s="93">
        <f>SUM(D112:D115)</f>
        <v>-20000</v>
      </c>
      <c r="E117" s="55">
        <f>SUM(E112:E116)</f>
        <v>-14581</v>
      </c>
      <c r="F117" s="55">
        <f>SUM(F112:F116)</f>
        <v>-16278</v>
      </c>
      <c r="G117" s="28">
        <f>SUM(G112:G116)</f>
        <v>-6600</v>
      </c>
      <c r="H117" s="28">
        <f>SUM(H112:H116)</f>
        <v>-22532.400000000001</v>
      </c>
    </row>
    <row r="118" spans="1:59" x14ac:dyDescent="0.25">
      <c r="A118" s="19"/>
      <c r="B118" s="20"/>
      <c r="C118" s="106"/>
      <c r="D118" s="97"/>
      <c r="E118" s="30"/>
      <c r="F118" s="30"/>
      <c r="G118" s="30"/>
      <c r="H118" s="30"/>
    </row>
    <row r="119" spans="1:59" x14ac:dyDescent="0.25">
      <c r="A119" s="26"/>
      <c r="B119" s="6"/>
      <c r="C119" s="104"/>
      <c r="D119" s="91"/>
      <c r="E119" s="10"/>
      <c r="F119" s="10"/>
      <c r="G119" s="10"/>
      <c r="H119" s="10"/>
    </row>
    <row r="120" spans="1:59" s="2" customFormat="1" ht="15.75" thickBot="1" x14ac:dyDescent="0.3">
      <c r="A120" s="32" t="str">
        <f>"S:a Rörelsens kostnader inkl råvaror mm"</f>
        <v>S:a Rörelsens kostnader inkl råvaror mm</v>
      </c>
      <c r="B120" s="33"/>
      <c r="C120" s="110">
        <f>C80+C117+C108</f>
        <v>-448500</v>
      </c>
      <c r="D120" s="111">
        <f>D80+D108+D117</f>
        <v>-346700</v>
      </c>
      <c r="E120" s="34">
        <f t="shared" ref="E120:H120" si="3">E80+E108+E117</f>
        <v>-388686</v>
      </c>
      <c r="F120" s="48">
        <f t="shared" si="3"/>
        <v>-515664.97000000003</v>
      </c>
      <c r="G120" s="34">
        <f t="shared" si="3"/>
        <v>-443929.93999999994</v>
      </c>
      <c r="H120" s="34">
        <f t="shared" si="3"/>
        <v>-446104.63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s="2" customFormat="1" x14ac:dyDescent="0.25">
      <c r="A121" s="51"/>
      <c r="B121" s="17"/>
      <c r="C121" s="106"/>
      <c r="D121" s="98"/>
      <c r="E121" s="57"/>
      <c r="F121" s="57"/>
      <c r="G121" s="52"/>
      <c r="H121" s="5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s="2" customFormat="1" x14ac:dyDescent="0.25">
      <c r="A122" s="51" t="s">
        <v>59</v>
      </c>
      <c r="B122" s="17" t="s">
        <v>60</v>
      </c>
      <c r="C122" s="104"/>
      <c r="D122" s="98"/>
      <c r="E122" s="57">
        <v>1757</v>
      </c>
      <c r="F122" s="57">
        <v>2627.11</v>
      </c>
      <c r="G122" s="52">
        <v>310.37</v>
      </c>
      <c r="H122" s="5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x14ac:dyDescent="0.25">
      <c r="A123" s="26"/>
      <c r="B123" s="6"/>
      <c r="C123" s="104"/>
      <c r="D123" s="91"/>
      <c r="E123" s="10"/>
      <c r="F123" s="10"/>
      <c r="G123" s="10"/>
      <c r="H123" s="10"/>
    </row>
    <row r="124" spans="1:59" s="3" customFormat="1" x14ac:dyDescent="0.25">
      <c r="A124" s="113" t="str">
        <f>"Beräknat resultat"</f>
        <v>Beräknat resultat</v>
      </c>
      <c r="B124" s="114"/>
      <c r="C124" s="115">
        <f t="shared" ref="C124:H124" si="4">C55+C120+C122</f>
        <v>-80000</v>
      </c>
      <c r="D124" s="116">
        <f t="shared" si="4"/>
        <v>0</v>
      </c>
      <c r="E124" s="117">
        <f t="shared" si="4"/>
        <v>86023</v>
      </c>
      <c r="F124" s="117">
        <f t="shared" si="4"/>
        <v>-38104.230000000025</v>
      </c>
      <c r="G124" s="117">
        <f t="shared" si="4"/>
        <v>94780.45000000007</v>
      </c>
      <c r="H124" s="117">
        <f t="shared" si="4"/>
        <v>-99336.97000000003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 ht="15.75" thickBot="1" x14ac:dyDescent="0.3">
      <c r="A125" s="37"/>
      <c r="B125" s="15"/>
      <c r="C125" s="109"/>
      <c r="D125" s="15"/>
      <c r="E125" s="70"/>
      <c r="F125" s="28"/>
      <c r="G125" s="15"/>
      <c r="H125" s="15"/>
    </row>
    <row r="126" spans="1:59" x14ac:dyDescent="0.25">
      <c r="G126" s="46"/>
    </row>
  </sheetData>
  <pageMargins left="0.7" right="0.7" top="0.75" bottom="0.75" header="0.3" footer="0.3"/>
  <pageSetup paperSize="9" orientation="portrait" verticalDpi="0" r:id="rId1"/>
  <headerFooter>
    <oddHeader>&amp;C&amp;"Calibri"&amp;10&amp;K008000 Zeppelin: Confidential GREEN&amp;1#_x000D_</oddHeader>
  </headerFooter>
  <customProperties>
    <customPr name="_pios_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G127"/>
  <sheetViews>
    <sheetView workbookViewId="0">
      <selection sqref="A1:XFD1048576"/>
    </sheetView>
  </sheetViews>
  <sheetFormatPr defaultRowHeight="15" x14ac:dyDescent="0.25"/>
  <cols>
    <col min="1" max="1" width="14" customWidth="1"/>
    <col min="2" max="2" width="30.140625" customWidth="1"/>
    <col min="3" max="3" width="22.28515625" customWidth="1"/>
    <col min="4" max="5" width="16.7109375" customWidth="1"/>
    <col min="6" max="7" width="13.7109375" style="4" customWidth="1"/>
    <col min="8" max="8" width="13.7109375" bestFit="1" customWidth="1"/>
    <col min="10" max="10" width="10.28515625" customWidth="1"/>
    <col min="11" max="11" width="12.7109375" bestFit="1" customWidth="1"/>
  </cols>
  <sheetData>
    <row r="1" spans="1:8" x14ac:dyDescent="0.25">
      <c r="A1" s="9" t="str">
        <f>"Sida:"</f>
        <v>Sida:</v>
      </c>
      <c r="B1" s="47">
        <v>1</v>
      </c>
      <c r="C1" s="47"/>
      <c r="D1" s="47"/>
      <c r="E1" s="47"/>
      <c r="F1" s="10"/>
      <c r="G1" s="10"/>
      <c r="H1" s="6"/>
    </row>
    <row r="2" spans="1:8" x14ac:dyDescent="0.25">
      <c r="A2" s="9" t="str">
        <f>"Utskrivet:"</f>
        <v>Utskrivet:</v>
      </c>
      <c r="B2" s="87"/>
      <c r="C2" s="87"/>
      <c r="D2" s="87"/>
      <c r="E2" s="7"/>
      <c r="F2" s="10"/>
      <c r="G2" s="10"/>
      <c r="H2" s="6"/>
    </row>
    <row r="3" spans="1:8" x14ac:dyDescent="0.25">
      <c r="A3" s="6"/>
      <c r="B3" s="6"/>
      <c r="C3" s="133">
        <v>2014</v>
      </c>
      <c r="D3" s="100">
        <v>2013</v>
      </c>
      <c r="E3" s="121">
        <v>2013</v>
      </c>
      <c r="F3" s="58">
        <v>2012</v>
      </c>
      <c r="G3" s="58">
        <v>2011</v>
      </c>
      <c r="H3" s="58">
        <v>2010</v>
      </c>
    </row>
    <row r="4" spans="1:8" ht="15.75" thickBot="1" x14ac:dyDescent="0.3">
      <c r="A4" s="16"/>
      <c r="B4" s="16"/>
      <c r="C4" s="134" t="s">
        <v>4</v>
      </c>
      <c r="D4" s="101" t="s">
        <v>4</v>
      </c>
      <c r="E4" s="122" t="s">
        <v>5</v>
      </c>
      <c r="F4" s="60" t="s">
        <v>5</v>
      </c>
      <c r="G4" s="60" t="s">
        <v>5</v>
      </c>
      <c r="H4" s="61" t="s">
        <v>5</v>
      </c>
    </row>
    <row r="5" spans="1:8" x14ac:dyDescent="0.25">
      <c r="A5" s="19"/>
      <c r="B5" s="20"/>
      <c r="C5" s="135"/>
      <c r="D5" s="102"/>
      <c r="E5" s="123"/>
      <c r="F5" s="30"/>
      <c r="G5" s="30"/>
      <c r="H5" s="20"/>
    </row>
    <row r="6" spans="1:8" x14ac:dyDescent="0.25">
      <c r="A6" s="22" t="str">
        <f>"Rörelsens intäkter och lagerförändring"</f>
        <v>Rörelsens intäkter och lagerförändring</v>
      </c>
      <c r="B6" s="6"/>
      <c r="C6" s="136"/>
      <c r="D6" s="103"/>
      <c r="E6" s="124"/>
      <c r="F6" s="10"/>
      <c r="G6" s="10"/>
      <c r="H6" s="6"/>
    </row>
    <row r="7" spans="1:8" x14ac:dyDescent="0.25">
      <c r="A7" s="22" t="str">
        <f>"Nettoomsättning"</f>
        <v>Nettoomsättning</v>
      </c>
      <c r="B7" s="6"/>
      <c r="C7" s="136"/>
      <c r="D7" s="103"/>
      <c r="E7" s="124"/>
      <c r="F7" s="10"/>
      <c r="G7" s="10"/>
      <c r="H7" s="6"/>
    </row>
    <row r="8" spans="1:8" x14ac:dyDescent="0.25">
      <c r="A8" s="24" t="str">
        <f>"3110"</f>
        <v>3110</v>
      </c>
      <c r="B8" s="5" t="str">
        <f>"Medlemsavgifter"</f>
        <v>Medlemsavgifter</v>
      </c>
      <c r="C8" s="140">
        <v>85000</v>
      </c>
      <c r="D8" s="104">
        <v>75000</v>
      </c>
      <c r="E8" s="125">
        <v>83650</v>
      </c>
      <c r="F8" s="10">
        <v>72350</v>
      </c>
      <c r="G8" s="10">
        <v>66725</v>
      </c>
      <c r="H8" s="10">
        <v>61750</v>
      </c>
    </row>
    <row r="9" spans="1:8" x14ac:dyDescent="0.25">
      <c r="A9" s="24" t="str">
        <f>"3120"</f>
        <v>3120</v>
      </c>
      <c r="B9" s="5" t="str">
        <f>"Intäkter kanothyra"</f>
        <v>Intäkter kanothyra</v>
      </c>
      <c r="C9" s="140">
        <f>14000+3000</f>
        <v>17000</v>
      </c>
      <c r="D9" s="104">
        <v>15000</v>
      </c>
      <c r="E9" s="125">
        <v>13450</v>
      </c>
      <c r="F9" s="10">
        <v>13000</v>
      </c>
      <c r="G9" s="10">
        <v>14625</v>
      </c>
      <c r="H9" s="10">
        <v>12600</v>
      </c>
    </row>
    <row r="10" spans="1:8" x14ac:dyDescent="0.25">
      <c r="A10" s="24" t="str">
        <f>"3130"</f>
        <v>3130</v>
      </c>
      <c r="B10" s="5" t="str">
        <f>"Intäkter kanotplats"</f>
        <v>Intäkter kanotplats</v>
      </c>
      <c r="C10" s="140">
        <v>18000</v>
      </c>
      <c r="D10" s="104">
        <v>17000</v>
      </c>
      <c r="E10" s="125">
        <v>18175</v>
      </c>
      <c r="F10" s="10">
        <v>15750</v>
      </c>
      <c r="G10" s="10">
        <v>14100</v>
      </c>
      <c r="H10" s="10">
        <v>16800</v>
      </c>
    </row>
    <row r="11" spans="1:8" x14ac:dyDescent="0.25">
      <c r="A11" s="24" t="str">
        <f>"3140"</f>
        <v>3140</v>
      </c>
      <c r="B11" s="5" t="str">
        <f>"Intäkter kanotskola"</f>
        <v>Intäkter kanotskola</v>
      </c>
      <c r="C11" s="140">
        <v>24000</v>
      </c>
      <c r="D11" s="104">
        <v>20000</v>
      </c>
      <c r="E11" s="125">
        <v>24535</v>
      </c>
      <c r="F11" s="10">
        <v>24050</v>
      </c>
      <c r="G11" s="10">
        <v>17400</v>
      </c>
      <c r="H11" s="10">
        <v>24600</v>
      </c>
    </row>
    <row r="12" spans="1:8" x14ac:dyDescent="0.25">
      <c r="A12" s="24" t="str">
        <f>"3142"</f>
        <v>3142</v>
      </c>
      <c r="B12" s="5" t="str">
        <f>"Prova-på-paddling"</f>
        <v>Prova-på-paddling</v>
      </c>
      <c r="C12" s="140">
        <v>7000</v>
      </c>
      <c r="D12" s="104">
        <v>3000</v>
      </c>
      <c r="E12" s="125">
        <v>7200</v>
      </c>
      <c r="F12" s="10">
        <v>3200</v>
      </c>
      <c r="G12" s="10">
        <v>1500</v>
      </c>
      <c r="H12" s="10">
        <v>2100</v>
      </c>
    </row>
    <row r="13" spans="1:8" x14ac:dyDescent="0.25">
      <c r="A13" s="24" t="s">
        <v>6</v>
      </c>
      <c r="B13" s="5" t="s">
        <v>7</v>
      </c>
      <c r="C13" s="140">
        <v>7000</v>
      </c>
      <c r="D13" s="104"/>
      <c r="E13" s="125">
        <v>7600</v>
      </c>
      <c r="F13" s="10"/>
      <c r="G13" s="10"/>
      <c r="H13" s="10"/>
    </row>
    <row r="14" spans="1:8" x14ac:dyDescent="0.25">
      <c r="A14" s="24" t="str">
        <f>"3150"</f>
        <v>3150</v>
      </c>
      <c r="B14" s="5" t="s">
        <v>8</v>
      </c>
      <c r="C14" s="140">
        <v>12000</v>
      </c>
      <c r="D14" s="104">
        <v>12500</v>
      </c>
      <c r="E14" s="125">
        <v>12000</v>
      </c>
      <c r="F14" s="10">
        <v>12000</v>
      </c>
      <c r="G14" s="10">
        <v>0</v>
      </c>
      <c r="H14" s="10">
        <v>3000</v>
      </c>
    </row>
    <row r="15" spans="1:8" x14ac:dyDescent="0.25">
      <c r="A15" s="24" t="str">
        <f>"3210"</f>
        <v>3210</v>
      </c>
      <c r="B15" s="44" t="str">
        <f>"Intäkter tävling/transport"</f>
        <v>Intäkter tävling/transport</v>
      </c>
      <c r="C15" s="141"/>
      <c r="D15" s="104"/>
      <c r="E15" s="126"/>
      <c r="F15" s="10"/>
      <c r="G15" s="10">
        <v>0</v>
      </c>
      <c r="H15" s="10">
        <v>0</v>
      </c>
    </row>
    <row r="16" spans="1:8" x14ac:dyDescent="0.25">
      <c r="A16" s="24" t="str">
        <f>"3211"</f>
        <v>3211</v>
      </c>
      <c r="B16" s="5" t="str">
        <f>"Anmälningsavgifter"</f>
        <v>Anmälningsavgifter</v>
      </c>
      <c r="C16" s="140">
        <v>12000</v>
      </c>
      <c r="D16" s="104">
        <v>10000</v>
      </c>
      <c r="E16" s="125">
        <v>13120</v>
      </c>
      <c r="F16" s="10">
        <v>9500</v>
      </c>
      <c r="G16" s="10">
        <v>12360.95</v>
      </c>
      <c r="H16" s="10">
        <v>8957.94</v>
      </c>
    </row>
    <row r="17" spans="1:10" x14ac:dyDescent="0.25">
      <c r="A17" s="24" t="str">
        <f>"3212"</f>
        <v>3212</v>
      </c>
      <c r="B17" s="5" t="str">
        <f>"Transportavgift"</f>
        <v>Transportavgift</v>
      </c>
      <c r="C17" s="140">
        <v>1000</v>
      </c>
      <c r="D17" s="104">
        <v>2000</v>
      </c>
      <c r="E17" s="125">
        <v>1800</v>
      </c>
      <c r="F17" s="10">
        <v>600</v>
      </c>
      <c r="G17" s="10">
        <v>2320</v>
      </c>
      <c r="H17" s="10">
        <v>4524</v>
      </c>
    </row>
    <row r="18" spans="1:10" x14ac:dyDescent="0.25">
      <c r="A18" s="24" t="str">
        <f>"3213"</f>
        <v>3213</v>
      </c>
      <c r="B18" s="5" t="str">
        <f>"Kost och logi under tävlingar"</f>
        <v>Kost och logi under tävlingar</v>
      </c>
      <c r="C18" s="140"/>
      <c r="D18" s="104"/>
      <c r="E18" s="125">
        <v>2400</v>
      </c>
      <c r="F18" s="10">
        <v>11950</v>
      </c>
      <c r="G18" s="10">
        <v>420</v>
      </c>
      <c r="H18" s="10">
        <v>1818</v>
      </c>
    </row>
    <row r="19" spans="1:10" x14ac:dyDescent="0.25">
      <c r="A19" s="24">
        <v>3214</v>
      </c>
      <c r="B19" s="6" t="s">
        <v>9</v>
      </c>
      <c r="C19" s="140"/>
      <c r="D19" s="104"/>
      <c r="E19" s="125"/>
      <c r="F19" s="10"/>
      <c r="G19" s="10">
        <v>1675</v>
      </c>
      <c r="H19" s="10">
        <v>1245</v>
      </c>
    </row>
    <row r="20" spans="1:10" x14ac:dyDescent="0.25">
      <c r="A20" s="24" t="str">
        <f>"3220"</f>
        <v>3220</v>
      </c>
      <c r="B20" s="44" t="str">
        <f>"Intäkter läger"</f>
        <v>Intäkter läger</v>
      </c>
      <c r="C20" s="141"/>
      <c r="D20" s="104"/>
      <c r="E20" s="126"/>
      <c r="F20" s="10"/>
      <c r="G20" s="10">
        <v>0</v>
      </c>
      <c r="H20" s="10">
        <v>0</v>
      </c>
    </row>
    <row r="21" spans="1:10" x14ac:dyDescent="0.25">
      <c r="A21" s="24" t="str">
        <f>"3221"</f>
        <v>3221</v>
      </c>
      <c r="B21" s="5" t="s">
        <v>10</v>
      </c>
      <c r="C21" s="140">
        <v>5000</v>
      </c>
      <c r="D21" s="104">
        <v>5000</v>
      </c>
      <c r="E21" s="125">
        <v>1650</v>
      </c>
      <c r="F21" s="10">
        <v>5800</v>
      </c>
      <c r="G21" s="10">
        <v>10900</v>
      </c>
      <c r="H21" s="10">
        <v>6390</v>
      </c>
    </row>
    <row r="22" spans="1:10" x14ac:dyDescent="0.25">
      <c r="A22" s="24" t="s">
        <v>11</v>
      </c>
      <c r="B22" s="5" t="s">
        <v>12</v>
      </c>
      <c r="C22" s="140"/>
      <c r="D22" s="104"/>
      <c r="E22" s="125"/>
      <c r="F22" s="10"/>
      <c r="G22" s="10">
        <v>400</v>
      </c>
      <c r="H22" s="10">
        <v>0</v>
      </c>
    </row>
    <row r="23" spans="1:10" x14ac:dyDescent="0.25">
      <c r="A23" s="24" t="str">
        <f>"3223"</f>
        <v>3223</v>
      </c>
      <c r="B23" s="5" t="str">
        <f>"Intäkter SM läger"</f>
        <v>Intäkter SM läger</v>
      </c>
      <c r="C23" s="140">
        <v>12000</v>
      </c>
      <c r="D23" s="104">
        <v>15000</v>
      </c>
      <c r="E23" s="125">
        <v>8400</v>
      </c>
      <c r="F23" s="10">
        <v>11200</v>
      </c>
      <c r="G23" s="10">
        <v>11700</v>
      </c>
      <c r="H23" s="10">
        <v>15000</v>
      </c>
    </row>
    <row r="24" spans="1:10" x14ac:dyDescent="0.25">
      <c r="A24" s="24" t="s">
        <v>13</v>
      </c>
      <c r="B24" s="5" t="s">
        <v>14</v>
      </c>
      <c r="C24" s="140">
        <v>14000</v>
      </c>
      <c r="D24" s="104">
        <v>8000</v>
      </c>
      <c r="E24" s="125">
        <v>13415.5</v>
      </c>
      <c r="F24" s="10">
        <v>6734</v>
      </c>
      <c r="G24" s="10"/>
      <c r="H24" s="10"/>
    </row>
    <row r="25" spans="1:10" x14ac:dyDescent="0.25">
      <c r="A25" s="24" t="str">
        <f>"3310"</f>
        <v>3310</v>
      </c>
      <c r="B25" s="5" t="str">
        <f>"Bingolotto"</f>
        <v>Bingolotto</v>
      </c>
      <c r="C25" s="140">
        <v>2000</v>
      </c>
      <c r="D25" s="104">
        <v>1000</v>
      </c>
      <c r="E25" s="125">
        <v>2388</v>
      </c>
      <c r="F25" s="10">
        <v>1404</v>
      </c>
      <c r="G25" s="10">
        <v>3441</v>
      </c>
      <c r="H25" s="10">
        <v>5110</v>
      </c>
    </row>
    <row r="26" spans="1:10" x14ac:dyDescent="0.25">
      <c r="A26" s="24" t="str">
        <f>"3320"</f>
        <v>3320</v>
      </c>
      <c r="B26" s="5" t="str">
        <f>"Övrig lotteriverksamhet"</f>
        <v>Övrig lotteriverksamhet</v>
      </c>
      <c r="C26" s="140"/>
      <c r="D26" s="104"/>
      <c r="E26" s="125"/>
      <c r="F26" s="10">
        <v>1430</v>
      </c>
      <c r="G26" s="10">
        <v>2410</v>
      </c>
      <c r="H26" s="10">
        <v>2260</v>
      </c>
    </row>
    <row r="27" spans="1:10" x14ac:dyDescent="0.25">
      <c r="A27" s="24" t="s">
        <v>15</v>
      </c>
      <c r="B27" s="5" t="s">
        <v>16</v>
      </c>
      <c r="C27" s="140"/>
      <c r="D27" s="104"/>
      <c r="E27" s="125"/>
      <c r="F27" s="10"/>
      <c r="G27" s="10"/>
      <c r="H27" s="10"/>
    </row>
    <row r="28" spans="1:10" x14ac:dyDescent="0.25">
      <c r="A28" s="24" t="str">
        <f>"3420"</f>
        <v>3420</v>
      </c>
      <c r="B28" s="5" t="str">
        <f>"Intäkter Sponsorer"</f>
        <v>Intäkter Sponsorer</v>
      </c>
      <c r="C28" s="140">
        <f>37000+5000+10000</f>
        <v>52000</v>
      </c>
      <c r="D28" s="104">
        <v>40000</v>
      </c>
      <c r="E28" s="125">
        <v>41400</v>
      </c>
      <c r="F28" s="10">
        <v>87700</v>
      </c>
      <c r="G28" s="10">
        <v>46000</v>
      </c>
      <c r="H28" s="10">
        <v>123500</v>
      </c>
      <c r="J28" s="152">
        <v>37000</v>
      </c>
    </row>
    <row r="29" spans="1:10" x14ac:dyDescent="0.25">
      <c r="A29" s="24" t="str">
        <f>"3421"</f>
        <v>3421</v>
      </c>
      <c r="B29" s="5" t="s">
        <v>17</v>
      </c>
      <c r="C29" s="140">
        <v>20000</v>
      </c>
      <c r="D29" s="104">
        <v>20000</v>
      </c>
      <c r="E29" s="125">
        <v>28000</v>
      </c>
      <c r="F29" s="10">
        <v>20000</v>
      </c>
      <c r="G29" s="10">
        <v>131800</v>
      </c>
      <c r="H29" s="10">
        <v>38000</v>
      </c>
    </row>
    <row r="30" spans="1:10" x14ac:dyDescent="0.25">
      <c r="A30" s="24" t="s">
        <v>18</v>
      </c>
      <c r="B30" s="5" t="s">
        <v>19</v>
      </c>
      <c r="C30" s="140"/>
      <c r="D30" s="104"/>
      <c r="E30" s="125">
        <v>50350</v>
      </c>
      <c r="F30" s="10">
        <v>35000</v>
      </c>
      <c r="G30" s="10">
        <v>13000</v>
      </c>
      <c r="H30" s="10"/>
    </row>
    <row r="31" spans="1:10" x14ac:dyDescent="0.25">
      <c r="A31" s="24" t="str">
        <f>"3430"</f>
        <v>3430</v>
      </c>
      <c r="B31" s="5" t="str">
        <f>"Intäkter föräldrarföreningen"</f>
        <v>Intäkter föräldrarföreningen</v>
      </c>
      <c r="C31" s="140"/>
      <c r="D31" s="104">
        <v>2000</v>
      </c>
      <c r="E31" s="127"/>
      <c r="F31" s="10">
        <v>15000</v>
      </c>
      <c r="G31" s="10">
        <v>15500</v>
      </c>
      <c r="H31" s="10">
        <v>15700.33</v>
      </c>
    </row>
    <row r="32" spans="1:10" x14ac:dyDescent="0.25">
      <c r="A32" s="24" t="str">
        <f>"3520"</f>
        <v>3520</v>
      </c>
      <c r="B32" s="5" t="str">
        <f>"Intäkter Kanotförsäkring"</f>
        <v>Intäkter Kanotförsäkring</v>
      </c>
      <c r="C32" s="140">
        <v>4000</v>
      </c>
      <c r="D32" s="104">
        <v>6000</v>
      </c>
      <c r="E32" s="127">
        <v>3830</v>
      </c>
      <c r="F32" s="10">
        <v>5976</v>
      </c>
      <c r="G32" s="10">
        <v>7016</v>
      </c>
      <c r="H32" s="10">
        <v>12551.33</v>
      </c>
    </row>
    <row r="33" spans="1:11" x14ac:dyDescent="0.25">
      <c r="A33" s="24" t="s">
        <v>95</v>
      </c>
      <c r="B33" s="5" t="s">
        <v>96</v>
      </c>
      <c r="C33" s="140"/>
      <c r="D33" s="104"/>
      <c r="E33" s="127"/>
      <c r="F33" s="10"/>
      <c r="G33" s="10">
        <v>720</v>
      </c>
      <c r="H33" s="10"/>
    </row>
    <row r="34" spans="1:11" x14ac:dyDescent="0.25">
      <c r="A34" s="24" t="str">
        <f>"3710"</f>
        <v>3710</v>
      </c>
      <c r="B34" s="5" t="str">
        <f>"Kommunala bidrag"</f>
        <v>Kommunala bidrag</v>
      </c>
      <c r="C34" s="140">
        <v>52000</v>
      </c>
      <c r="D34" s="104">
        <v>65000</v>
      </c>
      <c r="E34" s="127">
        <v>51090</v>
      </c>
      <c r="F34" s="10">
        <v>62752</v>
      </c>
      <c r="G34" s="10">
        <v>49944</v>
      </c>
      <c r="H34" s="10">
        <v>60337</v>
      </c>
      <c r="J34" t="s">
        <v>108</v>
      </c>
    </row>
    <row r="35" spans="1:11" x14ac:dyDescent="0.25">
      <c r="A35" s="24" t="str">
        <f>"3730"</f>
        <v>3730</v>
      </c>
      <c r="B35" s="5" t="str">
        <f>"LOK-stöd Riksidrottsförbundet"</f>
        <v>LOK-stöd Riksidrottsförbundet</v>
      </c>
      <c r="C35" s="140">
        <v>35000</v>
      </c>
      <c r="D35" s="104">
        <v>40000</v>
      </c>
      <c r="E35" s="127">
        <v>39430</v>
      </c>
      <c r="F35" s="10">
        <v>37396</v>
      </c>
      <c r="G35" s="10">
        <v>35358.68</v>
      </c>
      <c r="H35" s="10">
        <v>33200.36</v>
      </c>
    </row>
    <row r="36" spans="1:11" x14ac:dyDescent="0.25">
      <c r="A36" s="24" t="s">
        <v>22</v>
      </c>
      <c r="B36" s="5" t="s">
        <v>23</v>
      </c>
      <c r="C36" s="140"/>
      <c r="D36" s="104"/>
      <c r="E36" s="127"/>
      <c r="F36" s="10"/>
      <c r="G36" s="10"/>
      <c r="H36" s="10"/>
    </row>
    <row r="37" spans="1:11" x14ac:dyDescent="0.25">
      <c r="A37" s="24" t="str">
        <f>"3790"</f>
        <v>3790</v>
      </c>
      <c r="B37" s="5" t="s">
        <v>97</v>
      </c>
      <c r="C37" s="140"/>
      <c r="D37" s="104">
        <v>4000</v>
      </c>
      <c r="E37" s="127"/>
      <c r="F37" s="10">
        <v>6500</v>
      </c>
      <c r="G37" s="10">
        <v>122</v>
      </c>
      <c r="H37" s="10">
        <v>43544</v>
      </c>
      <c r="K37" s="4"/>
    </row>
    <row r="38" spans="1:11" x14ac:dyDescent="0.25">
      <c r="A38" s="26"/>
      <c r="B38" s="6"/>
      <c r="C38" s="140"/>
      <c r="D38" s="104"/>
      <c r="E38" s="127"/>
      <c r="F38" s="10"/>
      <c r="G38" s="10"/>
      <c r="H38" s="10"/>
    </row>
    <row r="39" spans="1:11" s="1" customFormat="1" ht="15.75" thickBot="1" x14ac:dyDescent="0.3">
      <c r="A39" s="27" t="str">
        <f>"S:a Nettoomsättning"</f>
        <v>S:a Nettoomsättning</v>
      </c>
      <c r="B39" s="14"/>
      <c r="C39" s="142">
        <f>SUM(C8:C38)</f>
        <v>379000</v>
      </c>
      <c r="D39" s="107">
        <f>SUM(D8:D37)</f>
        <v>360500</v>
      </c>
      <c r="E39" s="119">
        <f>SUM(E8:E37)</f>
        <v>423883.5</v>
      </c>
      <c r="F39" s="28">
        <f>SUM(F8:F38)</f>
        <v>459292</v>
      </c>
      <c r="G39" s="28">
        <f>SUM(G8:G38)</f>
        <v>459437.63</v>
      </c>
      <c r="H39" s="28">
        <f>SUM(H8:H38)</f>
        <v>492987.96</v>
      </c>
      <c r="K39" s="120"/>
    </row>
    <row r="40" spans="1:11" x14ac:dyDescent="0.25">
      <c r="A40" s="19"/>
      <c r="B40" s="20"/>
      <c r="C40" s="137"/>
      <c r="D40" s="106"/>
      <c r="E40" s="128"/>
      <c r="F40" s="30"/>
      <c r="G40" s="30"/>
      <c r="H40" s="30"/>
    </row>
    <row r="41" spans="1:11" x14ac:dyDescent="0.25">
      <c r="A41" s="22" t="str">
        <f>"Aktiverat arbete för egen räkning"</f>
        <v>Aktiverat arbete för egen räkning</v>
      </c>
      <c r="B41" s="6"/>
      <c r="C41" s="136"/>
      <c r="D41" s="104"/>
      <c r="E41" s="129"/>
      <c r="F41" s="10"/>
      <c r="G41" s="10"/>
      <c r="H41" s="10"/>
    </row>
    <row r="42" spans="1:11" x14ac:dyDescent="0.25">
      <c r="A42" s="24" t="s">
        <v>25</v>
      </c>
      <c r="B42" s="6" t="s">
        <v>26</v>
      </c>
      <c r="C42" s="143"/>
      <c r="D42" s="104"/>
      <c r="E42" s="127">
        <v>0</v>
      </c>
      <c r="F42" s="10"/>
      <c r="G42" s="10"/>
      <c r="H42" s="10">
        <v>10541.06</v>
      </c>
    </row>
    <row r="43" spans="1:11" x14ac:dyDescent="0.25">
      <c r="A43" s="24" t="str">
        <f>"3813"</f>
        <v>3813</v>
      </c>
      <c r="B43" s="5"/>
      <c r="C43" s="143"/>
      <c r="D43" s="104">
        <v>8000</v>
      </c>
      <c r="E43" s="127">
        <v>0</v>
      </c>
      <c r="F43" s="10">
        <v>2000</v>
      </c>
      <c r="G43" s="10"/>
      <c r="H43" s="10">
        <v>8000</v>
      </c>
    </row>
    <row r="44" spans="1:11" x14ac:dyDescent="0.25">
      <c r="A44" s="26"/>
      <c r="B44" s="6"/>
      <c r="C44" s="136"/>
      <c r="D44" s="104"/>
      <c r="E44" s="129"/>
      <c r="F44" s="10"/>
      <c r="G44" s="10"/>
      <c r="H44" s="10"/>
    </row>
    <row r="45" spans="1:11" s="1" customFormat="1" ht="15.75" thickBot="1" x14ac:dyDescent="0.3">
      <c r="A45" s="27" t="str">
        <f>"S:a Aktiverat arbete för egen räkning"</f>
        <v>S:a Aktiverat arbete för egen räkning</v>
      </c>
      <c r="B45" s="14"/>
      <c r="C45" s="144">
        <f>SUM(C42:C44)</f>
        <v>0</v>
      </c>
      <c r="D45" s="105">
        <f>SUM(D42:D43)</f>
        <v>8000</v>
      </c>
      <c r="E45" s="119">
        <f>SUM(E42:E44)</f>
        <v>0</v>
      </c>
      <c r="F45" s="28">
        <f>SUM(F42:F44)</f>
        <v>2000</v>
      </c>
      <c r="G45" s="28">
        <f>SUM(G42:G43)</f>
        <v>0</v>
      </c>
      <c r="H45" s="28">
        <f>SUM(H42:H44)</f>
        <v>18541.059999999998</v>
      </c>
    </row>
    <row r="46" spans="1:11" x14ac:dyDescent="0.25">
      <c r="A46" s="19"/>
      <c r="B46" s="20"/>
      <c r="C46" s="137"/>
      <c r="D46" s="106"/>
      <c r="E46" s="128"/>
      <c r="F46" s="30"/>
      <c r="G46" s="30"/>
      <c r="H46" s="30"/>
    </row>
    <row r="47" spans="1:11" x14ac:dyDescent="0.25">
      <c r="A47" s="22" t="str">
        <f>"Övriga rörelseintäkter"</f>
        <v>Övriga rörelseintäkter</v>
      </c>
      <c r="B47" s="6"/>
      <c r="C47" s="136"/>
      <c r="D47" s="104"/>
      <c r="E47" s="129"/>
      <c r="F47" s="10"/>
      <c r="G47" s="10"/>
      <c r="H47" s="10"/>
    </row>
    <row r="48" spans="1:11" x14ac:dyDescent="0.25">
      <c r="A48" s="24" t="str">
        <f>"3990"</f>
        <v>3990</v>
      </c>
      <c r="B48" s="5" t="str">
        <f>"Övr ersättn och intäkter"</f>
        <v>Övr ersättn och intäkter</v>
      </c>
      <c r="C48" s="145"/>
      <c r="D48" s="104"/>
      <c r="E48" s="127"/>
      <c r="F48" s="10">
        <v>5500</v>
      </c>
      <c r="G48" s="10">
        <v>6126</v>
      </c>
      <c r="H48" s="10">
        <v>15361</v>
      </c>
    </row>
    <row r="49" spans="1:59" x14ac:dyDescent="0.25">
      <c r="A49" s="24" t="str">
        <f>"3991"</f>
        <v>3991</v>
      </c>
      <c r="B49" s="5" t="str">
        <f>"Team Porto"</f>
        <v>Team Porto</v>
      </c>
      <c r="C49" s="145"/>
      <c r="D49" s="104"/>
      <c r="E49" s="127"/>
      <c r="F49" s="10">
        <v>0</v>
      </c>
      <c r="G49" s="10"/>
      <c r="H49" s="10">
        <v>1500</v>
      </c>
    </row>
    <row r="50" spans="1:59" x14ac:dyDescent="0.25">
      <c r="A50" s="24" t="str">
        <f>"3992"</f>
        <v>3992</v>
      </c>
      <c r="B50" s="5" t="s">
        <v>98</v>
      </c>
      <c r="C50" s="145"/>
      <c r="D50" s="104"/>
      <c r="E50" s="127"/>
      <c r="F50" s="10">
        <v>6160</v>
      </c>
      <c r="G50" s="10">
        <v>9370</v>
      </c>
      <c r="H50" s="10">
        <v>10010</v>
      </c>
    </row>
    <row r="51" spans="1:59" x14ac:dyDescent="0.25">
      <c r="A51" s="118">
        <v>3680</v>
      </c>
      <c r="B51" s="6" t="s">
        <v>29</v>
      </c>
      <c r="C51" s="145"/>
      <c r="D51" s="104"/>
      <c r="E51" s="129"/>
      <c r="F51" s="10"/>
      <c r="G51" s="10"/>
      <c r="H51" s="10"/>
    </row>
    <row r="52" spans="1:59" s="1" customFormat="1" ht="15.75" thickBot="1" x14ac:dyDescent="0.3">
      <c r="A52" s="27" t="str">
        <f>"S:a Övriga rörelseintäkter"</f>
        <v>S:a Övriga rörelseintäkter</v>
      </c>
      <c r="B52" s="14"/>
      <c r="C52" s="146">
        <f>SUM(C48:C51)</f>
        <v>0</v>
      </c>
      <c r="D52" s="105">
        <f>SUM(D48:D51)</f>
        <v>0</v>
      </c>
      <c r="E52" s="119">
        <f t="shared" ref="E52:H52" si="0">SUM(E48:E51)</f>
        <v>0</v>
      </c>
      <c r="F52" s="28">
        <f t="shared" si="0"/>
        <v>11660</v>
      </c>
      <c r="G52" s="28">
        <f t="shared" si="0"/>
        <v>15496</v>
      </c>
      <c r="H52" s="28">
        <f t="shared" si="0"/>
        <v>26871</v>
      </c>
    </row>
    <row r="53" spans="1:59" x14ac:dyDescent="0.25">
      <c r="A53" s="19"/>
      <c r="B53" s="20"/>
      <c r="C53" s="137"/>
      <c r="D53" s="106"/>
      <c r="E53" s="128"/>
      <c r="F53" s="30"/>
      <c r="G53" s="30"/>
      <c r="H53" s="30"/>
    </row>
    <row r="54" spans="1:59" x14ac:dyDescent="0.25">
      <c r="A54" s="26"/>
      <c r="B54" s="6"/>
      <c r="C54" s="136"/>
      <c r="D54" s="104"/>
      <c r="E54" s="129"/>
      <c r="F54" s="10"/>
      <c r="G54" s="10"/>
      <c r="H54" s="10"/>
    </row>
    <row r="55" spans="1:59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47">
        <f>C39+C45+C52</f>
        <v>379000</v>
      </c>
      <c r="D55" s="112">
        <f>D39+D45+D52</f>
        <v>368500</v>
      </c>
      <c r="E55" s="111">
        <f t="shared" ref="E55:H55" si="1">E39+E45+E52</f>
        <v>423883.5</v>
      </c>
      <c r="F55" s="34">
        <f t="shared" si="1"/>
        <v>472952</v>
      </c>
      <c r="G55" s="34">
        <f t="shared" si="1"/>
        <v>474933.63</v>
      </c>
      <c r="H55" s="34">
        <f t="shared" si="1"/>
        <v>538400.02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5">
      <c r="A56" s="19"/>
      <c r="B56" s="20"/>
      <c r="C56" s="137"/>
      <c r="D56" s="106"/>
      <c r="E56" s="128"/>
      <c r="F56" s="30"/>
      <c r="G56" s="30"/>
      <c r="H56" s="30"/>
    </row>
    <row r="57" spans="1:59" x14ac:dyDescent="0.25">
      <c r="A57" s="22" t="str">
        <f>"Rörelsens kostnader"</f>
        <v>Rörelsens kostnader</v>
      </c>
      <c r="B57" s="6"/>
      <c r="C57" s="136"/>
      <c r="D57" s="104"/>
      <c r="E57" s="129"/>
      <c r="F57" s="10"/>
      <c r="G57" s="10"/>
      <c r="H57" s="10"/>
    </row>
    <row r="58" spans="1:59" x14ac:dyDescent="0.25">
      <c r="A58" s="22" t="str">
        <f>"Råvaror och förnödenheter mm"</f>
        <v>Råvaror och förnödenheter mm</v>
      </c>
      <c r="B58" s="6"/>
      <c r="C58" s="136"/>
      <c r="D58" s="104"/>
      <c r="E58" s="129"/>
      <c r="F58" s="10"/>
      <c r="G58" s="10"/>
      <c r="H58" s="10"/>
    </row>
    <row r="59" spans="1:59" x14ac:dyDescent="0.25">
      <c r="A59" s="24" t="str">
        <f>"4010"</f>
        <v>4010</v>
      </c>
      <c r="B59" s="5" t="str">
        <f>"Tävlingskostnader"</f>
        <v>Tävlingskostnader</v>
      </c>
      <c r="C59" s="148"/>
      <c r="D59" s="104"/>
      <c r="E59" s="127"/>
      <c r="F59" s="56"/>
      <c r="G59" s="56"/>
      <c r="H59" s="10">
        <v>0</v>
      </c>
    </row>
    <row r="60" spans="1:59" x14ac:dyDescent="0.25">
      <c r="A60" s="24" t="str">
        <f>"4011"</f>
        <v>4011</v>
      </c>
      <c r="B60" s="5" t="str">
        <f>"Anmälningsavgifter"</f>
        <v>Anmälningsavgifter</v>
      </c>
      <c r="C60" s="148">
        <v>42000</v>
      </c>
      <c r="D60" s="104">
        <v>-35000</v>
      </c>
      <c r="E60" s="127">
        <v>-44933</v>
      </c>
      <c r="F60" s="10">
        <v>-34575</v>
      </c>
      <c r="G60" s="10">
        <v>-41560</v>
      </c>
      <c r="H60" s="10">
        <v>-45206</v>
      </c>
    </row>
    <row r="61" spans="1:59" x14ac:dyDescent="0.25">
      <c r="A61" s="24" t="str">
        <f>"4012"</f>
        <v>4012</v>
      </c>
      <c r="B61" s="5" t="str">
        <f>"transportkostnader"</f>
        <v>transportkostnader</v>
      </c>
      <c r="C61" s="148">
        <v>5000</v>
      </c>
      <c r="D61" s="104">
        <v>-10000</v>
      </c>
      <c r="E61" s="127">
        <v>-10378</v>
      </c>
      <c r="F61" s="10">
        <v>-2091</v>
      </c>
      <c r="G61" s="10">
        <v>-13186</v>
      </c>
      <c r="H61" s="10">
        <v>-25424</v>
      </c>
    </row>
    <row r="62" spans="1:59" x14ac:dyDescent="0.25">
      <c r="A62" s="24" t="str">
        <f>"4013"</f>
        <v>4013</v>
      </c>
      <c r="B62" s="5" t="str">
        <f>"Kost och logi under tävlingar"</f>
        <v>Kost och logi under tävlingar</v>
      </c>
      <c r="C62" s="148"/>
      <c r="D62" s="104"/>
      <c r="E62" s="127">
        <v>-3540</v>
      </c>
      <c r="F62" s="10">
        <v>-13460</v>
      </c>
      <c r="G62" s="10">
        <v>-9340</v>
      </c>
      <c r="H62" s="10">
        <v>-4616</v>
      </c>
    </row>
    <row r="63" spans="1:59" x14ac:dyDescent="0.25">
      <c r="A63" s="24" t="str">
        <f>"4014"</f>
        <v>4014</v>
      </c>
      <c r="B63" s="5" t="str">
        <f>"Övriga tävlingskostnader"</f>
        <v>Övriga tävlingskostnader</v>
      </c>
      <c r="C63" s="148"/>
      <c r="D63" s="104"/>
      <c r="E63" s="127"/>
      <c r="F63" s="10">
        <v>-2255</v>
      </c>
      <c r="G63" s="10">
        <v>-2210</v>
      </c>
      <c r="H63" s="10">
        <v>-4460</v>
      </c>
    </row>
    <row r="64" spans="1:59" x14ac:dyDescent="0.25">
      <c r="A64" s="24" t="str">
        <f>"4020"</f>
        <v>4020</v>
      </c>
      <c r="B64" s="5" t="str">
        <f>"Lägerkostnader"</f>
        <v>Lägerkostnader</v>
      </c>
      <c r="C64" s="148">
        <v>5000</v>
      </c>
      <c r="D64" s="104">
        <v>-10000</v>
      </c>
      <c r="E64" s="127">
        <v>-4627</v>
      </c>
      <c r="F64" s="56">
        <v>-8872</v>
      </c>
      <c r="G64" s="56"/>
      <c r="H64" s="10">
        <v>-1100</v>
      </c>
    </row>
    <row r="65" spans="1:8" x14ac:dyDescent="0.25">
      <c r="A65" s="24" t="str">
        <f>"4021"</f>
        <v>4021</v>
      </c>
      <c r="B65" s="5" t="str">
        <f>"Anmälningsavgifter, Läger"</f>
        <v>Anmälningsavgifter, Läger</v>
      </c>
      <c r="C65" s="148"/>
      <c r="D65" s="104"/>
      <c r="E65" s="127"/>
      <c r="F65" s="10"/>
      <c r="G65" s="10">
        <v>-9550</v>
      </c>
      <c r="H65" s="10">
        <v>-17400</v>
      </c>
    </row>
    <row r="66" spans="1:8" x14ac:dyDescent="0.25">
      <c r="A66" s="24" t="str">
        <f>"4022"</f>
        <v>4022</v>
      </c>
      <c r="B66" s="5" t="str">
        <f>"Transportkostnader, Läger"</f>
        <v>Transportkostnader, Läger</v>
      </c>
      <c r="C66" s="148"/>
      <c r="D66" s="104"/>
      <c r="E66" s="127"/>
      <c r="F66" s="10"/>
      <c r="G66" s="10">
        <v>-1248.75</v>
      </c>
      <c r="H66" s="10">
        <v>-6040.5</v>
      </c>
    </row>
    <row r="67" spans="1:8" x14ac:dyDescent="0.25">
      <c r="A67" s="24" t="str">
        <f>"4024"</f>
        <v>4024</v>
      </c>
      <c r="B67" s="5" t="str">
        <f>"SM läger"</f>
        <v>SM läger</v>
      </c>
      <c r="C67" s="148">
        <v>30000</v>
      </c>
      <c r="D67" s="104">
        <v>-50000</v>
      </c>
      <c r="E67" s="127">
        <v>-22174</v>
      </c>
      <c r="F67" s="10">
        <v>-28215</v>
      </c>
      <c r="G67" s="10">
        <v>-18672</v>
      </c>
      <c r="H67" s="10">
        <v>-28738</v>
      </c>
    </row>
    <row r="68" spans="1:8" x14ac:dyDescent="0.25">
      <c r="A68" s="24" t="s">
        <v>32</v>
      </c>
      <c r="B68" s="5" t="s">
        <v>33</v>
      </c>
      <c r="C68" s="148">
        <f>40000+10000</f>
        <v>50000</v>
      </c>
      <c r="D68" s="104">
        <v>-50000</v>
      </c>
      <c r="E68" s="127">
        <v>-44493</v>
      </c>
      <c r="F68" s="10">
        <v>-56047</v>
      </c>
      <c r="G68" s="10"/>
      <c r="H68" s="10"/>
    </row>
    <row r="69" spans="1:8" x14ac:dyDescent="0.25">
      <c r="A69" s="24" t="str">
        <f>"4110"</f>
        <v>4110</v>
      </c>
      <c r="B69" s="5" t="str">
        <f>"Kostnader Kanotskolan"</f>
        <v>Kostnader Kanotskolan</v>
      </c>
      <c r="C69" s="148">
        <v>8000</v>
      </c>
      <c r="D69" s="104">
        <v>-10000</v>
      </c>
      <c r="E69" s="127">
        <v>-8052</v>
      </c>
      <c r="F69" s="10">
        <v>-10761</v>
      </c>
      <c r="G69" s="10">
        <v>-7341</v>
      </c>
      <c r="H69" s="10">
        <v>-8001.58</v>
      </c>
    </row>
    <row r="70" spans="1:8" x14ac:dyDescent="0.25">
      <c r="A70" s="24" t="s">
        <v>34</v>
      </c>
      <c r="B70" s="5" t="s">
        <v>35</v>
      </c>
      <c r="C70" s="148">
        <v>3000</v>
      </c>
      <c r="D70" s="104"/>
      <c r="E70" s="127">
        <v>-3600</v>
      </c>
      <c r="F70" s="10"/>
      <c r="G70" s="10"/>
      <c r="H70" s="10"/>
    </row>
    <row r="71" spans="1:8" x14ac:dyDescent="0.25">
      <c r="A71" s="24" t="str">
        <f>"4120"</f>
        <v>4120</v>
      </c>
      <c r="B71" s="5" t="str">
        <f>"Kostnad ungdomsverksamhet"</f>
        <v>Kostnad ungdomsverksamhet</v>
      </c>
      <c r="C71" s="148">
        <v>20000</v>
      </c>
      <c r="D71" s="104">
        <v>-12000</v>
      </c>
      <c r="E71" s="127">
        <v>-6599</v>
      </c>
      <c r="F71" s="10">
        <v>-11010</v>
      </c>
      <c r="G71" s="10">
        <v>-17340.04</v>
      </c>
      <c r="H71" s="10">
        <v>-17468</v>
      </c>
    </row>
    <row r="72" spans="1:8" x14ac:dyDescent="0.25">
      <c r="A72" s="24" t="str">
        <f>"4210"</f>
        <v>4210</v>
      </c>
      <c r="B72" s="5" t="str">
        <f>"Kostnad styrketräning"</f>
        <v>Kostnad styrketräning</v>
      </c>
      <c r="C72" s="148"/>
      <c r="D72" s="104"/>
      <c r="E72" s="127"/>
      <c r="F72" s="10">
        <v>-3410</v>
      </c>
      <c r="G72" s="10"/>
      <c r="H72" s="10">
        <v>0</v>
      </c>
    </row>
    <row r="73" spans="1:8" x14ac:dyDescent="0.25">
      <c r="A73" s="24" t="str">
        <f>"4220"</f>
        <v>4220</v>
      </c>
      <c r="B73" s="5" t="s">
        <v>38</v>
      </c>
      <c r="C73" s="148">
        <v>25000</v>
      </c>
      <c r="D73" s="104">
        <v>-65000</v>
      </c>
      <c r="E73" s="127">
        <v>-83127</v>
      </c>
      <c r="F73" s="10">
        <v>-33278</v>
      </c>
      <c r="G73" s="10">
        <v>-172295</v>
      </c>
      <c r="H73" s="10">
        <v>-92241.06</v>
      </c>
    </row>
    <row r="74" spans="1:8" x14ac:dyDescent="0.25">
      <c r="A74" s="24" t="str">
        <f>"4410"</f>
        <v>4410</v>
      </c>
      <c r="B74" s="5" t="str">
        <f>"Utgifter Skåneregattan"</f>
        <v>Utgifter Skåneregattan</v>
      </c>
      <c r="C74" s="148"/>
      <c r="D74" s="104"/>
      <c r="E74" s="127"/>
      <c r="F74" s="10"/>
      <c r="G74" s="10">
        <v>-450</v>
      </c>
      <c r="H74" s="10">
        <v>-1141.8</v>
      </c>
    </row>
    <row r="75" spans="1:8" x14ac:dyDescent="0.25">
      <c r="A75" s="24" t="s">
        <v>39</v>
      </c>
      <c r="B75" s="5" t="s">
        <v>40</v>
      </c>
      <c r="C75" s="148">
        <v>16000</v>
      </c>
      <c r="D75" s="104"/>
      <c r="E75" s="127">
        <v>-21032</v>
      </c>
      <c r="F75" s="10">
        <v>-3618</v>
      </c>
      <c r="G75" s="10">
        <v>-2323</v>
      </c>
      <c r="H75" s="10"/>
    </row>
    <row r="76" spans="1:8" x14ac:dyDescent="0.25">
      <c r="A76" s="24" t="str">
        <f>"4610"</f>
        <v>4610</v>
      </c>
      <c r="B76" s="5" t="str">
        <f>"Mötesverksamhet"</f>
        <v>Mötesverksamhet</v>
      </c>
      <c r="C76" s="148">
        <v>1500</v>
      </c>
      <c r="D76" s="104">
        <v>-5000</v>
      </c>
      <c r="E76" s="127">
        <v>-223</v>
      </c>
      <c r="F76" s="99">
        <v>-1906</v>
      </c>
      <c r="G76" s="10">
        <v>-5015</v>
      </c>
      <c r="H76" s="10">
        <v>-10973.5</v>
      </c>
    </row>
    <row r="77" spans="1:8" x14ac:dyDescent="0.25">
      <c r="A77" s="24" t="s">
        <v>43</v>
      </c>
      <c r="B77" s="5" t="s">
        <v>44</v>
      </c>
      <c r="C77" s="148"/>
      <c r="D77" s="104"/>
      <c r="E77" s="127"/>
      <c r="F77" s="10">
        <v>-10840</v>
      </c>
      <c r="G77" s="10">
        <v>-8620</v>
      </c>
      <c r="H77" s="10"/>
    </row>
    <row r="78" spans="1:8" x14ac:dyDescent="0.25">
      <c r="A78" s="24" t="str">
        <f>"4710"</f>
        <v>4710</v>
      </c>
      <c r="B78" s="5" t="str">
        <f>"Märken och priser"</f>
        <v>Märken och priser</v>
      </c>
      <c r="C78" s="148">
        <v>5000</v>
      </c>
      <c r="D78" s="104">
        <v>-4000</v>
      </c>
      <c r="E78" s="127">
        <v>-6310</v>
      </c>
      <c r="F78" s="10">
        <v>-3790</v>
      </c>
      <c r="G78" s="10">
        <v>-2854</v>
      </c>
      <c r="H78" s="10">
        <v>-2967</v>
      </c>
    </row>
    <row r="79" spans="1:8" x14ac:dyDescent="0.25">
      <c r="A79" s="24" t="str">
        <f>"4800"</f>
        <v>4800</v>
      </c>
      <c r="B79" s="5" t="str">
        <f>"Medlemmarnas pengar"</f>
        <v>Medlemmarnas pengar</v>
      </c>
      <c r="C79" s="148"/>
      <c r="D79" s="104"/>
      <c r="E79" s="127"/>
      <c r="F79" s="10"/>
      <c r="G79" s="10"/>
      <c r="H79" s="10">
        <v>-10691</v>
      </c>
    </row>
    <row r="80" spans="1:8" x14ac:dyDescent="0.25">
      <c r="A80" s="26"/>
      <c r="B80" s="6"/>
      <c r="C80" s="136"/>
      <c r="D80" s="104"/>
      <c r="E80" s="129"/>
      <c r="F80" s="10"/>
      <c r="G80" s="10"/>
      <c r="H80" s="10"/>
    </row>
    <row r="81" spans="1:8" s="1" customFormat="1" ht="15.75" thickBot="1" x14ac:dyDescent="0.3">
      <c r="A81" s="27" t="str">
        <f>"S:a Råvaror och förnödenheter mm"</f>
        <v>S:a Råvaror och förnödenheter mm</v>
      </c>
      <c r="B81" s="14"/>
      <c r="C81" s="146">
        <f>SUM(C59:C79)</f>
        <v>210500</v>
      </c>
      <c r="D81" s="105">
        <f>SUM(D59:D79)</f>
        <v>-251000</v>
      </c>
      <c r="E81" s="119">
        <f>SUM(E59:E79)</f>
        <v>-259088</v>
      </c>
      <c r="F81" s="55">
        <f>SUM(F59:F80)</f>
        <v>-224128</v>
      </c>
      <c r="G81" s="28">
        <f>SUM(G60:G80)</f>
        <v>-312004.79000000004</v>
      </c>
      <c r="H81" s="28">
        <f>SUM(H59:H80)</f>
        <v>-276468.43999999994</v>
      </c>
    </row>
    <row r="82" spans="1:8" x14ac:dyDescent="0.25">
      <c r="A82" s="19"/>
      <c r="B82" s="20"/>
      <c r="C82" s="137"/>
      <c r="D82" s="106"/>
      <c r="E82" s="128"/>
      <c r="F82" s="30"/>
      <c r="G82" s="30"/>
      <c r="H82" s="30"/>
    </row>
    <row r="83" spans="1:8" x14ac:dyDescent="0.25">
      <c r="A83" s="26"/>
      <c r="B83" s="6"/>
      <c r="C83" s="136"/>
      <c r="D83" s="104"/>
      <c r="E83" s="129"/>
      <c r="F83" s="10"/>
      <c r="G83" s="10"/>
      <c r="H83" s="10"/>
    </row>
    <row r="84" spans="1:8" s="1" customFormat="1" ht="15.75" thickBot="1" x14ac:dyDescent="0.3">
      <c r="A84" s="27" t="str">
        <f>"Bruttovinst"</f>
        <v>Bruttovinst</v>
      </c>
      <c r="B84" s="14"/>
      <c r="C84" s="142">
        <f>C55-C81</f>
        <v>168500</v>
      </c>
      <c r="D84" s="107">
        <f t="shared" ref="D84:H84" si="2">D55+D81</f>
        <v>117500</v>
      </c>
      <c r="E84" s="119">
        <f t="shared" si="2"/>
        <v>164795.5</v>
      </c>
      <c r="F84" s="28">
        <f t="shared" si="2"/>
        <v>248824</v>
      </c>
      <c r="G84" s="28">
        <f t="shared" si="2"/>
        <v>162928.83999999997</v>
      </c>
      <c r="H84" s="28">
        <f t="shared" si="2"/>
        <v>261931.58000000007</v>
      </c>
    </row>
    <row r="85" spans="1:8" x14ac:dyDescent="0.25">
      <c r="A85" s="19"/>
      <c r="B85" s="20"/>
      <c r="C85" s="137"/>
      <c r="D85" s="106"/>
      <c r="E85" s="128"/>
      <c r="F85" s="30"/>
      <c r="G85" s="30"/>
      <c r="H85" s="30"/>
    </row>
    <row r="86" spans="1:8" x14ac:dyDescent="0.25">
      <c r="A86" s="22" t="str">
        <f>"Övriga externa kostnader"</f>
        <v>Övriga externa kostnader</v>
      </c>
      <c r="B86" s="6"/>
      <c r="C86" s="136"/>
      <c r="D86" s="104"/>
      <c r="E86" s="129"/>
      <c r="F86" s="10"/>
      <c r="G86" s="10"/>
      <c r="H86" s="10"/>
    </row>
    <row r="87" spans="1:8" x14ac:dyDescent="0.25">
      <c r="A87" s="24" t="str">
        <f>"5110"</f>
        <v>5110</v>
      </c>
      <c r="B87" s="5" t="str">
        <f>"Arrende"</f>
        <v>Arrende</v>
      </c>
      <c r="C87" s="148">
        <v>1700</v>
      </c>
      <c r="D87" s="104">
        <v>-1700</v>
      </c>
      <c r="E87" s="127">
        <v>-1643</v>
      </c>
      <c r="F87" s="10">
        <v>-1637</v>
      </c>
      <c r="G87" s="10">
        <v>-1597</v>
      </c>
      <c r="H87" s="10">
        <v>-1579</v>
      </c>
    </row>
    <row r="88" spans="1:8" x14ac:dyDescent="0.25">
      <c r="A88" s="24" t="str">
        <f>"5120"</f>
        <v>5120</v>
      </c>
      <c r="B88" s="5" t="str">
        <f>"Elektricitet"</f>
        <v>Elektricitet</v>
      </c>
      <c r="C88" s="148">
        <v>29000</v>
      </c>
      <c r="D88" s="104">
        <v>-28000</v>
      </c>
      <c r="E88" s="127">
        <v>-28939</v>
      </c>
      <c r="F88" s="10">
        <v>-21334</v>
      </c>
      <c r="G88" s="10">
        <v>-27177</v>
      </c>
      <c r="H88" s="10">
        <v>-28561</v>
      </c>
    </row>
    <row r="89" spans="1:8" x14ac:dyDescent="0.25">
      <c r="A89" s="24" t="str">
        <f>"5140"</f>
        <v>5140</v>
      </c>
      <c r="B89" s="5" t="str">
        <f>"Vatten och sophämtning"</f>
        <v>Vatten och sophämtning</v>
      </c>
      <c r="C89" s="148">
        <v>6000</v>
      </c>
      <c r="D89" s="104">
        <v>-6500</v>
      </c>
      <c r="E89" s="127">
        <v>-6178</v>
      </c>
      <c r="F89" s="10">
        <v>-6077</v>
      </c>
      <c r="G89" s="10">
        <v>-5332</v>
      </c>
      <c r="H89" s="10">
        <v>-5798</v>
      </c>
    </row>
    <row r="90" spans="1:8" x14ac:dyDescent="0.25">
      <c r="A90" s="24" t="str">
        <f>"5170"</f>
        <v>5170</v>
      </c>
      <c r="B90" s="5" t="str">
        <f>"Fastighetsunderhåll"</f>
        <v>Fastighetsunderhåll</v>
      </c>
      <c r="C90" s="148">
        <v>20000</v>
      </c>
      <c r="D90" s="104">
        <v>-45000</v>
      </c>
      <c r="E90" s="127">
        <v>-53805</v>
      </c>
      <c r="F90" s="10">
        <v>-3691</v>
      </c>
      <c r="G90" s="10">
        <v>-3825</v>
      </c>
      <c r="H90" s="10">
        <v>-15856</v>
      </c>
    </row>
    <row r="91" spans="1:8" x14ac:dyDescent="0.25">
      <c r="A91" s="24" t="s">
        <v>103</v>
      </c>
      <c r="B91" s="5" t="s">
        <v>104</v>
      </c>
      <c r="C91" s="148"/>
      <c r="D91" s="104"/>
      <c r="E91" s="127"/>
      <c r="F91" s="10">
        <v>-4528</v>
      </c>
      <c r="G91" s="10">
        <v>-2076</v>
      </c>
      <c r="H91" s="10"/>
    </row>
    <row r="92" spans="1:8" x14ac:dyDescent="0.25">
      <c r="A92" s="24" t="str">
        <f>"5410"</f>
        <v>5410</v>
      </c>
      <c r="B92" s="5" t="str">
        <f>"Förbrukningsinventarier"</f>
        <v>Förbrukningsinventarier</v>
      </c>
      <c r="C92" s="148">
        <v>1750</v>
      </c>
      <c r="D92" s="104">
        <v>-1750</v>
      </c>
      <c r="E92" s="127">
        <v>-1675</v>
      </c>
      <c r="F92" s="10">
        <v>-992</v>
      </c>
      <c r="G92" s="10">
        <v>-618</v>
      </c>
      <c r="H92" s="10">
        <v>-3232.52</v>
      </c>
    </row>
    <row r="93" spans="1:8" x14ac:dyDescent="0.25">
      <c r="A93" s="24" t="str">
        <f>"5420"</f>
        <v>5420</v>
      </c>
      <c r="B93" s="5" t="str">
        <f>"Programvaror"</f>
        <v>Programvaror</v>
      </c>
      <c r="C93" s="148">
        <v>1200</v>
      </c>
      <c r="D93" s="104">
        <v>-1200</v>
      </c>
      <c r="E93" s="127">
        <v>-1200</v>
      </c>
      <c r="F93" s="10">
        <v>-1135</v>
      </c>
      <c r="G93" s="10">
        <v>-1075</v>
      </c>
      <c r="H93" s="10">
        <v>-1030</v>
      </c>
    </row>
    <row r="94" spans="1:8" x14ac:dyDescent="0.25">
      <c r="A94" s="24" t="str">
        <f>"5500"</f>
        <v>5500</v>
      </c>
      <c r="B94" s="5" t="str">
        <f>"Kanotunderhåll"</f>
        <v>Kanotunderhåll</v>
      </c>
      <c r="C94" s="148">
        <v>3000</v>
      </c>
      <c r="D94" s="104">
        <v>-10000</v>
      </c>
      <c r="E94" s="127">
        <v>-1400</v>
      </c>
      <c r="F94" s="10">
        <v>-1823</v>
      </c>
      <c r="G94" s="10">
        <v>-9680.2199999999993</v>
      </c>
      <c r="H94" s="10">
        <v>-7053.75</v>
      </c>
    </row>
    <row r="95" spans="1:8" x14ac:dyDescent="0.25">
      <c r="A95" s="24" t="str">
        <f>"5611"</f>
        <v>5611</v>
      </c>
      <c r="B95" s="5" t="s">
        <v>109</v>
      </c>
      <c r="C95" s="148">
        <v>2000</v>
      </c>
      <c r="D95" s="104">
        <v>-3000</v>
      </c>
      <c r="E95" s="127">
        <v>-1867</v>
      </c>
      <c r="F95" s="10">
        <v>-664</v>
      </c>
      <c r="G95" s="10">
        <v>-1871.96</v>
      </c>
      <c r="H95" s="10">
        <v>-1083.4000000000001</v>
      </c>
    </row>
    <row r="96" spans="1:8" x14ac:dyDescent="0.25">
      <c r="A96" s="24" t="str">
        <f>"5612"</f>
        <v>5612</v>
      </c>
      <c r="B96" s="5" t="str">
        <f>"Försäkring"</f>
        <v>Försäkring</v>
      </c>
      <c r="C96" s="148">
        <v>40000</v>
      </c>
      <c r="D96" s="104">
        <v>-38000</v>
      </c>
      <c r="E96" s="127">
        <v>-43706</v>
      </c>
      <c r="F96" s="10">
        <v>-36936</v>
      </c>
      <c r="G96" s="10">
        <v>-36897</v>
      </c>
      <c r="H96" s="10">
        <v>-38130</v>
      </c>
    </row>
    <row r="97" spans="1:8" x14ac:dyDescent="0.25">
      <c r="A97" s="24" t="s">
        <v>52</v>
      </c>
      <c r="B97" s="5" t="s">
        <v>53</v>
      </c>
      <c r="C97" s="148">
        <v>500</v>
      </c>
      <c r="D97" s="104">
        <v>-500</v>
      </c>
      <c r="E97" s="127">
        <v>-400</v>
      </c>
      <c r="F97" s="10"/>
      <c r="G97" s="10">
        <v>-370</v>
      </c>
      <c r="H97" s="10">
        <v>-478</v>
      </c>
    </row>
    <row r="98" spans="1:8" x14ac:dyDescent="0.25">
      <c r="A98" s="24" t="str">
        <f>"5614"</f>
        <v>5614</v>
      </c>
      <c r="B98" s="5" t="str">
        <f>"Reparation och Underhåll"</f>
        <v>Reparation och Underhåll</v>
      </c>
      <c r="C98" s="148"/>
      <c r="D98" s="104"/>
      <c r="E98" s="127"/>
      <c r="F98" s="10">
        <v>-8985</v>
      </c>
      <c r="G98" s="10">
        <v>-53755</v>
      </c>
      <c r="H98" s="10">
        <v>-3823</v>
      </c>
    </row>
    <row r="99" spans="1:8" x14ac:dyDescent="0.25">
      <c r="A99" s="24" t="str">
        <f>"5620"</f>
        <v>5620</v>
      </c>
      <c r="B99" s="5" t="str">
        <f>"Kostnader motobåt"</f>
        <v>Kostnader motobåt</v>
      </c>
      <c r="C99" s="148">
        <v>4000</v>
      </c>
      <c r="D99" s="104">
        <v>-5000</v>
      </c>
      <c r="E99" s="127">
        <v>-1721</v>
      </c>
      <c r="F99" s="10"/>
      <c r="G99" s="10">
        <v>-4230</v>
      </c>
      <c r="H99" s="10">
        <v>-72</v>
      </c>
    </row>
    <row r="100" spans="1:8" x14ac:dyDescent="0.25">
      <c r="A100" s="24" t="s">
        <v>55</v>
      </c>
      <c r="B100" s="5" t="s">
        <v>56</v>
      </c>
      <c r="C100" s="148"/>
      <c r="D100" s="104"/>
      <c r="E100" s="127"/>
      <c r="F100" s="10">
        <v>-31345</v>
      </c>
      <c r="G100" s="10">
        <v>-2577</v>
      </c>
      <c r="H100" s="10">
        <v>-40000</v>
      </c>
    </row>
    <row r="101" spans="1:8" x14ac:dyDescent="0.25">
      <c r="A101" s="24" t="str">
        <f>"6110"</f>
        <v>6110</v>
      </c>
      <c r="B101" s="5" t="str">
        <f>"Kontorsmaterial"</f>
        <v>Kontorsmaterial</v>
      </c>
      <c r="C101" s="148">
        <v>1000</v>
      </c>
      <c r="D101" s="104">
        <v>-2000</v>
      </c>
      <c r="E101" s="127">
        <v>-115</v>
      </c>
      <c r="F101" s="10">
        <v>-1193</v>
      </c>
      <c r="G101" s="10">
        <v>-1901</v>
      </c>
      <c r="H101" s="10">
        <v>-3241</v>
      </c>
    </row>
    <row r="102" spans="1:8" x14ac:dyDescent="0.25">
      <c r="A102" s="24" t="str">
        <f>"6210"</f>
        <v>6210</v>
      </c>
      <c r="B102" s="5" t="str">
        <f>"Telefon"</f>
        <v>Telefon</v>
      </c>
      <c r="C102" s="148"/>
      <c r="D102" s="104">
        <v>-3500</v>
      </c>
      <c r="E102" s="127">
        <v>-1928</v>
      </c>
      <c r="F102" s="10">
        <v>-2045</v>
      </c>
      <c r="G102" s="10">
        <v>-2666</v>
      </c>
      <c r="H102" s="10">
        <v>-2206</v>
      </c>
    </row>
    <row r="103" spans="1:8" x14ac:dyDescent="0.25">
      <c r="A103" s="24" t="str">
        <f>"6250"</f>
        <v>6250</v>
      </c>
      <c r="B103" s="5" t="str">
        <f>"Porto"</f>
        <v>Porto</v>
      </c>
      <c r="C103" s="148">
        <v>200</v>
      </c>
      <c r="D103" s="104">
        <v>-1000</v>
      </c>
      <c r="E103" s="127">
        <v>-60</v>
      </c>
      <c r="F103" s="10">
        <v>-629</v>
      </c>
      <c r="G103" s="10">
        <v>-627</v>
      </c>
      <c r="H103" s="10">
        <v>0</v>
      </c>
    </row>
    <row r="104" spans="1:8" x14ac:dyDescent="0.25">
      <c r="A104" s="24" t="str">
        <f>"6570"</f>
        <v>6570</v>
      </c>
      <c r="B104" s="5" t="str">
        <f>"Bankkostnader"</f>
        <v>Bankkostnader</v>
      </c>
      <c r="C104" s="148">
        <v>2000</v>
      </c>
      <c r="D104" s="104">
        <v>-1250</v>
      </c>
      <c r="E104" s="127">
        <v>-1971</v>
      </c>
      <c r="F104" s="10">
        <v>-3250</v>
      </c>
      <c r="G104" s="10">
        <v>-4564</v>
      </c>
      <c r="H104" s="10">
        <v>-3287.5</v>
      </c>
    </row>
    <row r="105" spans="1:8" x14ac:dyDescent="0.25">
      <c r="A105" s="24" t="str">
        <f>"6980"</f>
        <v>6980</v>
      </c>
      <c r="B105" s="5" t="str">
        <f>"Föreningsavgift /Licenser"</f>
        <v>Föreningsavgift /Licenser</v>
      </c>
      <c r="C105" s="148">
        <v>28000</v>
      </c>
      <c r="D105" s="104">
        <v>-23500</v>
      </c>
      <c r="E105" s="127">
        <v>-24550</v>
      </c>
      <c r="F105" s="10">
        <v>-19650</v>
      </c>
      <c r="G105" s="10">
        <v>-19072</v>
      </c>
      <c r="H105" s="10">
        <v>-2170</v>
      </c>
    </row>
    <row r="106" spans="1:8" x14ac:dyDescent="0.25">
      <c r="A106" s="24" t="str">
        <f>"6990"</f>
        <v>6990</v>
      </c>
      <c r="B106" s="5" t="str">
        <f>"Övriga Kostnader"</f>
        <v>Övriga Kostnader</v>
      </c>
      <c r="C106" s="148">
        <v>6000</v>
      </c>
      <c r="D106" s="104">
        <v>-5000</v>
      </c>
      <c r="E106" s="127">
        <v>-14526.5</v>
      </c>
      <c r="F106" s="10">
        <v>-4063</v>
      </c>
      <c r="G106" s="10">
        <v>-7471</v>
      </c>
      <c r="H106" s="10">
        <v>-3260.33</v>
      </c>
    </row>
    <row r="107" spans="1:8" x14ac:dyDescent="0.25">
      <c r="A107" s="24" t="str">
        <f>"6991"</f>
        <v>6991</v>
      </c>
      <c r="B107" s="5" t="str">
        <f>"Container"</f>
        <v>Container</v>
      </c>
      <c r="C107" s="148"/>
      <c r="D107" s="104"/>
      <c r="E107" s="127"/>
      <c r="F107" s="10"/>
      <c r="G107" s="10"/>
      <c r="H107" s="10">
        <v>0</v>
      </c>
    </row>
    <row r="108" spans="1:8" x14ac:dyDescent="0.25">
      <c r="A108" s="26"/>
      <c r="B108" s="6"/>
      <c r="C108" s="136"/>
      <c r="D108" s="104"/>
      <c r="E108" s="127"/>
      <c r="F108" s="10"/>
      <c r="G108" s="10"/>
      <c r="H108" s="10"/>
    </row>
    <row r="109" spans="1:8" s="1" customFormat="1" ht="15.75" thickBot="1" x14ac:dyDescent="0.3">
      <c r="A109" s="27" t="str">
        <f>"S:a Övriga externa kostnader"</f>
        <v>S:a Övriga externa kostnader</v>
      </c>
      <c r="B109" s="14"/>
      <c r="C109" s="146">
        <f>SUM(C87:C107)</f>
        <v>146350</v>
      </c>
      <c r="D109" s="105">
        <f>SUM(D87:D107)</f>
        <v>-176900</v>
      </c>
      <c r="E109" s="119">
        <f>SUM(E87:E107)</f>
        <v>-185684.5</v>
      </c>
      <c r="F109" s="55">
        <f>SUM(F87:F108)</f>
        <v>-149977</v>
      </c>
      <c r="G109" s="55">
        <f>SUM(G87:G108)</f>
        <v>-187382.18</v>
      </c>
      <c r="H109" s="28">
        <f>SUM(H87:H108)</f>
        <v>-160861.49999999997</v>
      </c>
    </row>
    <row r="110" spans="1:8" s="1" customFormat="1" ht="15.75" thickBot="1" x14ac:dyDescent="0.3">
      <c r="A110" s="80"/>
      <c r="B110" s="81"/>
      <c r="C110" s="151"/>
      <c r="D110" s="108"/>
      <c r="E110" s="130"/>
      <c r="F110" s="84"/>
      <c r="G110" s="84"/>
      <c r="H110" s="85"/>
    </row>
    <row r="111" spans="1:8" x14ac:dyDescent="0.25">
      <c r="A111" s="19"/>
      <c r="B111" s="20"/>
      <c r="C111" s="137"/>
      <c r="D111" s="106"/>
      <c r="E111" s="131"/>
      <c r="F111" s="30"/>
      <c r="G111" s="30"/>
      <c r="H111" s="30"/>
    </row>
    <row r="112" spans="1:8" x14ac:dyDescent="0.25">
      <c r="A112" s="22" t="str">
        <f>"Personalkostnader"</f>
        <v>Personalkostnader</v>
      </c>
      <c r="B112" s="6"/>
      <c r="C112" s="136"/>
      <c r="D112" s="104"/>
      <c r="E112" s="127"/>
      <c r="F112" s="10"/>
      <c r="G112" s="10"/>
      <c r="H112" s="10"/>
    </row>
    <row r="113" spans="1:59" x14ac:dyDescent="0.25">
      <c r="A113" s="24" t="str">
        <f>"7110"</f>
        <v>7110</v>
      </c>
      <c r="B113" s="5" t="str">
        <f>"Träningsbidrag"</f>
        <v>Träningsbidrag</v>
      </c>
      <c r="C113" s="148">
        <v>5000</v>
      </c>
      <c r="D113" s="104">
        <v>-5000</v>
      </c>
      <c r="E113" s="127">
        <v>-4600</v>
      </c>
      <c r="F113" s="10">
        <v>-7600</v>
      </c>
      <c r="G113" s="10">
        <v>-8200</v>
      </c>
      <c r="H113" s="10">
        <v>0</v>
      </c>
    </row>
    <row r="114" spans="1:59" x14ac:dyDescent="0.25">
      <c r="A114" s="24" t="s">
        <v>57</v>
      </c>
      <c r="B114" s="5" t="s">
        <v>58</v>
      </c>
      <c r="C114" s="148">
        <v>2500</v>
      </c>
      <c r="D114" s="104">
        <v>-1600</v>
      </c>
      <c r="E114" s="127">
        <v>-2200</v>
      </c>
      <c r="F114" s="10">
        <v>-1600</v>
      </c>
      <c r="G114" s="10"/>
      <c r="H114" s="10"/>
    </row>
    <row r="115" spans="1:59" x14ac:dyDescent="0.25">
      <c r="A115" s="24" t="str">
        <f>"7210"</f>
        <v>7210</v>
      </c>
      <c r="B115" s="5" t="str">
        <f>"Resekostnads ersättning"</f>
        <v>Resekostnads ersättning</v>
      </c>
      <c r="C115" s="148">
        <v>4000</v>
      </c>
      <c r="D115" s="104">
        <v>-6000</v>
      </c>
      <c r="E115" s="127">
        <v>-6040</v>
      </c>
      <c r="F115" s="10">
        <v>-5381</v>
      </c>
      <c r="G115" s="10">
        <v>-4548</v>
      </c>
      <c r="H115" s="10">
        <v>0</v>
      </c>
    </row>
    <row r="116" spans="1:59" x14ac:dyDescent="0.25">
      <c r="A116" s="24" t="str">
        <f>"7610"</f>
        <v>7610</v>
      </c>
      <c r="B116" s="5" t="str">
        <f>"Utbildning"</f>
        <v>Utbildning</v>
      </c>
      <c r="C116" s="148">
        <v>15000</v>
      </c>
      <c r="D116" s="104">
        <v>-8000</v>
      </c>
      <c r="E116" s="127">
        <v>-18925</v>
      </c>
      <c r="F116" s="10"/>
      <c r="G116" s="10">
        <v>-3530</v>
      </c>
      <c r="H116" s="10">
        <v>-6600</v>
      </c>
    </row>
    <row r="117" spans="1:59" x14ac:dyDescent="0.25">
      <c r="A117" s="26"/>
      <c r="B117" s="6"/>
      <c r="C117" s="136"/>
      <c r="D117" s="104"/>
      <c r="E117" s="127"/>
      <c r="F117" s="10"/>
      <c r="G117" s="10"/>
      <c r="H117" s="10"/>
    </row>
    <row r="118" spans="1:59" s="1" customFormat="1" ht="15.75" thickBot="1" x14ac:dyDescent="0.3">
      <c r="A118" s="27" t="str">
        <f>"S:a Personalkostnader"</f>
        <v>S:a Personalkostnader</v>
      </c>
      <c r="B118" s="14"/>
      <c r="C118" s="146">
        <f>SUM(C113:C116)</f>
        <v>26500</v>
      </c>
      <c r="D118" s="107">
        <f>SUM(D113:D116)</f>
        <v>-20600</v>
      </c>
      <c r="E118" s="119">
        <f>SUM(E113:E116)</f>
        <v>-31765</v>
      </c>
      <c r="F118" s="55">
        <f>SUM(F113:F117)</f>
        <v>-14581</v>
      </c>
      <c r="G118" s="55">
        <f>SUM(G113:G117)</f>
        <v>-16278</v>
      </c>
      <c r="H118" s="28">
        <f>SUM(H113:H117)</f>
        <v>-6600</v>
      </c>
    </row>
    <row r="119" spans="1:59" x14ac:dyDescent="0.25">
      <c r="A119" s="19"/>
      <c r="B119" s="20"/>
      <c r="C119" s="137"/>
      <c r="D119" s="106"/>
      <c r="E119" s="131"/>
      <c r="F119" s="30"/>
      <c r="G119" s="30"/>
      <c r="H119" s="30"/>
    </row>
    <row r="120" spans="1:59" x14ac:dyDescent="0.25">
      <c r="A120" s="26"/>
      <c r="B120" s="6"/>
      <c r="C120" s="136"/>
      <c r="D120" s="104"/>
      <c r="E120" s="127"/>
      <c r="F120" s="10"/>
      <c r="G120" s="10"/>
      <c r="H120" s="10"/>
    </row>
    <row r="121" spans="1:59" s="2" customFormat="1" ht="15.75" thickBot="1" x14ac:dyDescent="0.3">
      <c r="A121" s="32" t="str">
        <f>"S:a Rörelsens kostnader inkl råvaror mm"</f>
        <v>S:a Rörelsens kostnader inkl råvaror mm</v>
      </c>
      <c r="B121" s="33"/>
      <c r="C121" s="149">
        <f>C81+C109+C118</f>
        <v>383350</v>
      </c>
      <c r="D121" s="110">
        <f>D81+D118+D109</f>
        <v>-448500</v>
      </c>
      <c r="E121" s="111">
        <f>E81+E109+E118</f>
        <v>-476537.5</v>
      </c>
      <c r="F121" s="34">
        <f t="shared" ref="F121:H121" si="3">F81+F109+F118</f>
        <v>-388686</v>
      </c>
      <c r="G121" s="48">
        <f t="shared" si="3"/>
        <v>-515664.97000000003</v>
      </c>
      <c r="H121" s="34">
        <f t="shared" si="3"/>
        <v>-443929.93999999994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s="2" customFormat="1" x14ac:dyDescent="0.25">
      <c r="A122" s="51"/>
      <c r="B122" s="17"/>
      <c r="C122" s="138"/>
      <c r="D122" s="106"/>
      <c r="E122" s="132"/>
      <c r="F122" s="57"/>
      <c r="G122" s="57"/>
      <c r="H122" s="5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s="2" customFormat="1" x14ac:dyDescent="0.25">
      <c r="A123" s="51" t="s">
        <v>59</v>
      </c>
      <c r="B123" s="17" t="s">
        <v>60</v>
      </c>
      <c r="C123" s="139"/>
      <c r="D123" s="104"/>
      <c r="E123" s="132">
        <v>708</v>
      </c>
      <c r="F123" s="57">
        <v>1757</v>
      </c>
      <c r="G123" s="57">
        <v>2627.11</v>
      </c>
      <c r="H123" s="52">
        <v>310.37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x14ac:dyDescent="0.25">
      <c r="A124" s="26"/>
      <c r="B124" s="6"/>
      <c r="C124" s="136"/>
      <c r="D124" s="104"/>
      <c r="E124" s="127"/>
      <c r="F124" s="10"/>
      <c r="G124" s="10"/>
      <c r="H124" s="10"/>
    </row>
    <row r="125" spans="1:59" s="3" customFormat="1" x14ac:dyDescent="0.25">
      <c r="A125" s="113" t="str">
        <f>"Beräknat resultat"</f>
        <v>Beräknat resultat</v>
      </c>
      <c r="B125" s="114"/>
      <c r="C125" s="150">
        <f>C55-C121+C123</f>
        <v>-4350</v>
      </c>
      <c r="D125" s="115">
        <f t="shared" ref="D125:H125" si="4">D55+D121+D123</f>
        <v>-80000</v>
      </c>
      <c r="E125" s="116">
        <f t="shared" si="4"/>
        <v>-51946</v>
      </c>
      <c r="F125" s="117">
        <f t="shared" si="4"/>
        <v>86023</v>
      </c>
      <c r="G125" s="117">
        <f t="shared" si="4"/>
        <v>-38104.230000000025</v>
      </c>
      <c r="H125" s="117">
        <f t="shared" si="4"/>
        <v>94780.45000000007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 ht="15.75" thickBot="1" x14ac:dyDescent="0.3">
      <c r="A126" s="37"/>
      <c r="B126" s="15"/>
      <c r="C126" s="15"/>
      <c r="D126" s="109"/>
      <c r="E126" s="15"/>
      <c r="F126" s="70"/>
      <c r="G126" s="28"/>
      <c r="H126" s="15"/>
    </row>
    <row r="127" spans="1:59" x14ac:dyDescent="0.25">
      <c r="H127" s="46"/>
    </row>
  </sheetData>
  <pageMargins left="0.31496062992125984" right="0" top="0.74803149606299213" bottom="0.15748031496062992" header="0.31496062992125984" footer="0.31496062992125984"/>
  <pageSetup paperSize="9" orientation="landscape" horizontalDpi="4294967294" verticalDpi="0" r:id="rId1"/>
  <headerFooter>
    <oddHeader>&amp;C&amp;"Calibri"&amp;10&amp;K008000 Zeppelin: Confidential GREEN&amp;1#_x000D_</oddHeader>
  </headerFooter>
  <customProperties>
    <customPr name="_pios_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</sheetPr>
  <dimension ref="A1:BI128"/>
  <sheetViews>
    <sheetView topLeftCell="A64" workbookViewId="0">
      <selection activeCell="B19" sqref="B19"/>
    </sheetView>
  </sheetViews>
  <sheetFormatPr defaultRowHeight="15" x14ac:dyDescent="0.25"/>
  <cols>
    <col min="1" max="1" width="14" customWidth="1"/>
    <col min="2" max="2" width="30.140625" customWidth="1"/>
    <col min="3" max="3" width="22.28515625" customWidth="1"/>
    <col min="4" max="6" width="16.7109375" customWidth="1"/>
    <col min="7" max="8" width="13.7109375" style="4" customWidth="1"/>
    <col min="9" max="9" width="13.7109375" bestFit="1" customWidth="1"/>
    <col min="10" max="10" width="20.7109375" bestFit="1" customWidth="1"/>
    <col min="11" max="11" width="16" customWidth="1"/>
    <col min="12" max="12" width="12.7109375" customWidth="1"/>
    <col min="13" max="13" width="32.7109375" bestFit="1" customWidth="1"/>
    <col min="14" max="14" width="11.7109375" bestFit="1" customWidth="1"/>
  </cols>
  <sheetData>
    <row r="1" spans="1:9" x14ac:dyDescent="0.25">
      <c r="A1" s="9" t="str">
        <f>"Sida:"</f>
        <v>Sida:</v>
      </c>
      <c r="B1" s="47">
        <v>1</v>
      </c>
      <c r="C1" s="47"/>
      <c r="D1" s="47"/>
      <c r="E1" s="159" t="s">
        <v>110</v>
      </c>
      <c r="F1" s="47"/>
      <c r="G1" s="10"/>
      <c r="H1" s="10"/>
      <c r="I1" s="6"/>
    </row>
    <row r="2" spans="1:9" x14ac:dyDescent="0.25">
      <c r="A2" s="9" t="str">
        <f>"Utskrivet:"</f>
        <v>Utskrivet:</v>
      </c>
      <c r="B2" s="87"/>
      <c r="C2" s="87"/>
      <c r="D2" s="87"/>
      <c r="E2" s="160">
        <v>41973</v>
      </c>
      <c r="F2" s="7"/>
      <c r="G2" s="10"/>
      <c r="H2" s="10"/>
      <c r="I2" s="6"/>
    </row>
    <row r="3" spans="1:9" x14ac:dyDescent="0.25">
      <c r="A3" s="6"/>
      <c r="B3" s="6"/>
      <c r="C3" s="133">
        <v>2015</v>
      </c>
      <c r="D3" s="100">
        <v>2014</v>
      </c>
      <c r="E3" s="58">
        <v>2014</v>
      </c>
      <c r="F3" s="121">
        <v>2013</v>
      </c>
      <c r="G3" s="58">
        <v>2012</v>
      </c>
      <c r="H3" s="58">
        <v>2011</v>
      </c>
      <c r="I3" s="58">
        <v>2010</v>
      </c>
    </row>
    <row r="4" spans="1:9" ht="15.75" thickBot="1" x14ac:dyDescent="0.3">
      <c r="A4" s="16"/>
      <c r="B4" s="16"/>
      <c r="C4" s="134" t="s">
        <v>4</v>
      </c>
      <c r="D4" s="101" t="s">
        <v>4</v>
      </c>
      <c r="E4" s="59" t="s">
        <v>5</v>
      </c>
      <c r="F4" s="122" t="s">
        <v>5</v>
      </c>
      <c r="G4" s="60" t="s">
        <v>5</v>
      </c>
      <c r="H4" s="60" t="s">
        <v>5</v>
      </c>
      <c r="I4" s="61" t="s">
        <v>5</v>
      </c>
    </row>
    <row r="5" spans="1:9" x14ac:dyDescent="0.25">
      <c r="A5" s="19"/>
      <c r="B5" s="20"/>
      <c r="C5" s="135"/>
      <c r="D5" s="102"/>
      <c r="E5" s="20"/>
      <c r="F5" s="123"/>
      <c r="G5" s="30"/>
      <c r="H5" s="30"/>
      <c r="I5" s="20"/>
    </row>
    <row r="6" spans="1:9" x14ac:dyDescent="0.25">
      <c r="A6" s="22" t="str">
        <f>"Rörelsens intäkter och lagerförändring"</f>
        <v>Rörelsens intäkter och lagerförändring</v>
      </c>
      <c r="B6" s="6"/>
      <c r="C6" s="136"/>
      <c r="D6" s="103"/>
      <c r="E6" s="6"/>
      <c r="F6" s="124"/>
      <c r="G6" s="10"/>
      <c r="H6" s="10"/>
      <c r="I6" s="6"/>
    </row>
    <row r="7" spans="1:9" x14ac:dyDescent="0.25">
      <c r="A7" s="22" t="str">
        <f>"Nettoomsättning"</f>
        <v>Nettoomsättning</v>
      </c>
      <c r="B7" s="6"/>
      <c r="C7" s="136"/>
      <c r="D7" s="103"/>
      <c r="E7" s="6"/>
      <c r="F7" s="124"/>
      <c r="G7" s="10"/>
      <c r="H7" s="10"/>
      <c r="I7" s="6"/>
    </row>
    <row r="8" spans="1:9" x14ac:dyDescent="0.25">
      <c r="A8" s="24" t="str">
        <f>"3110"</f>
        <v>3110</v>
      </c>
      <c r="B8" s="5" t="str">
        <f>"Medlemsavgifter"</f>
        <v>Medlemsavgifter</v>
      </c>
      <c r="C8" s="140">
        <v>90000</v>
      </c>
      <c r="D8" s="104">
        <v>85000</v>
      </c>
      <c r="E8" s="153">
        <v>89700</v>
      </c>
      <c r="F8" s="125">
        <v>83650</v>
      </c>
      <c r="G8" s="10">
        <v>72350</v>
      </c>
      <c r="H8" s="10">
        <v>66725</v>
      </c>
      <c r="I8" s="10">
        <v>61750</v>
      </c>
    </row>
    <row r="9" spans="1:9" x14ac:dyDescent="0.25">
      <c r="A9" s="24" t="str">
        <f>"3120"</f>
        <v>3120</v>
      </c>
      <c r="B9" s="5" t="str">
        <f>"Intäkter kanothyra"</f>
        <v>Intäkter kanothyra</v>
      </c>
      <c r="C9" s="140">
        <v>17000</v>
      </c>
      <c r="D9" s="104">
        <v>17000</v>
      </c>
      <c r="E9" s="153">
        <v>17450</v>
      </c>
      <c r="F9" s="125">
        <v>13450</v>
      </c>
      <c r="G9" s="10">
        <v>13000</v>
      </c>
      <c r="H9" s="10">
        <v>14625</v>
      </c>
      <c r="I9" s="10">
        <v>12600</v>
      </c>
    </row>
    <row r="10" spans="1:9" x14ac:dyDescent="0.25">
      <c r="A10" s="24" t="str">
        <f>"3130"</f>
        <v>3130</v>
      </c>
      <c r="B10" s="5" t="str">
        <f>"Intäkter kanotplats"</f>
        <v>Intäkter kanotplats</v>
      </c>
      <c r="C10" s="140">
        <v>18000</v>
      </c>
      <c r="D10" s="104">
        <v>18000</v>
      </c>
      <c r="E10" s="153">
        <v>16963</v>
      </c>
      <c r="F10" s="125">
        <v>18175</v>
      </c>
      <c r="G10" s="10">
        <v>15750</v>
      </c>
      <c r="H10" s="10">
        <v>14100</v>
      </c>
      <c r="I10" s="10">
        <v>16800</v>
      </c>
    </row>
    <row r="11" spans="1:9" x14ac:dyDescent="0.25">
      <c r="A11" s="24" t="str">
        <f>"3140"</f>
        <v>3140</v>
      </c>
      <c r="B11" s="5" t="str">
        <f>"Intäkter kanotskola"</f>
        <v>Intäkter kanotskola</v>
      </c>
      <c r="C11" s="140">
        <v>30000</v>
      </c>
      <c r="D11" s="104">
        <v>24000</v>
      </c>
      <c r="E11" s="153">
        <v>35750</v>
      </c>
      <c r="F11" s="125">
        <v>24535</v>
      </c>
      <c r="G11" s="10">
        <v>24050</v>
      </c>
      <c r="H11" s="10">
        <v>17400</v>
      </c>
      <c r="I11" s="10">
        <v>24600</v>
      </c>
    </row>
    <row r="12" spans="1:9" x14ac:dyDescent="0.25">
      <c r="A12" s="24" t="str">
        <f>"3142"</f>
        <v>3142</v>
      </c>
      <c r="B12" s="5" t="str">
        <f>"Prova-på-paddling"</f>
        <v>Prova-på-paddling</v>
      </c>
      <c r="C12" s="140">
        <v>16000</v>
      </c>
      <c r="D12" s="104">
        <v>7000</v>
      </c>
      <c r="E12" s="153">
        <v>18000</v>
      </c>
      <c r="F12" s="125">
        <v>7200</v>
      </c>
      <c r="G12" s="10">
        <v>3200</v>
      </c>
      <c r="H12" s="10">
        <v>1500</v>
      </c>
      <c r="I12" s="10">
        <v>2100</v>
      </c>
    </row>
    <row r="13" spans="1:9" x14ac:dyDescent="0.25">
      <c r="A13" s="24" t="s">
        <v>6</v>
      </c>
      <c r="B13" s="5" t="s">
        <v>7</v>
      </c>
      <c r="C13" s="140">
        <v>4000</v>
      </c>
      <c r="D13" s="104">
        <v>7000</v>
      </c>
      <c r="E13" s="153">
        <v>3100</v>
      </c>
      <c r="F13" s="125">
        <v>7600</v>
      </c>
      <c r="G13" s="10"/>
      <c r="H13" s="10"/>
      <c r="I13" s="10"/>
    </row>
    <row r="14" spans="1:9" x14ac:dyDescent="0.25">
      <c r="A14" s="24" t="str">
        <f>"3150"</f>
        <v>3150</v>
      </c>
      <c r="B14" s="5" t="s">
        <v>8</v>
      </c>
      <c r="C14" s="140">
        <v>12000</v>
      </c>
      <c r="D14" s="104">
        <v>12000</v>
      </c>
      <c r="E14" s="153">
        <v>12000</v>
      </c>
      <c r="F14" s="125">
        <v>12000</v>
      </c>
      <c r="G14" s="10">
        <v>12000</v>
      </c>
      <c r="H14" s="10">
        <v>0</v>
      </c>
      <c r="I14" s="10">
        <v>3000</v>
      </c>
    </row>
    <row r="15" spans="1:9" x14ac:dyDescent="0.25">
      <c r="A15" s="24" t="str">
        <f>"3210"</f>
        <v>3210</v>
      </c>
      <c r="B15" s="44" t="str">
        <f>"Intäkter tävling/transport"</f>
        <v>Intäkter tävling/transport</v>
      </c>
      <c r="C15" s="141"/>
      <c r="D15" s="104"/>
      <c r="E15" s="153"/>
      <c r="F15" s="126"/>
      <c r="G15" s="10"/>
      <c r="H15" s="10">
        <v>0</v>
      </c>
      <c r="I15" s="10">
        <v>0</v>
      </c>
    </row>
    <row r="16" spans="1:9" x14ac:dyDescent="0.25">
      <c r="A16" s="24" t="str">
        <f>"3211"</f>
        <v>3211</v>
      </c>
      <c r="B16" s="5" t="str">
        <f>"Anmälningsavgifter"</f>
        <v>Anmälningsavgifter</v>
      </c>
      <c r="C16" s="140">
        <v>12000</v>
      </c>
      <c r="D16" s="104">
        <v>12000</v>
      </c>
      <c r="E16" s="153">
        <v>10700</v>
      </c>
      <c r="F16" s="125">
        <v>13120</v>
      </c>
      <c r="G16" s="10">
        <v>9500</v>
      </c>
      <c r="H16" s="10">
        <v>12360.95</v>
      </c>
      <c r="I16" s="10">
        <v>8957.94</v>
      </c>
    </row>
    <row r="17" spans="1:12" x14ac:dyDescent="0.25">
      <c r="A17" s="24" t="str">
        <f>"3212"</f>
        <v>3212</v>
      </c>
      <c r="B17" s="5" t="str">
        <f>"Transportavgift"</f>
        <v>Transportavgift</v>
      </c>
      <c r="C17" s="140">
        <v>1000</v>
      </c>
      <c r="D17" s="104">
        <v>1000</v>
      </c>
      <c r="E17" s="153">
        <v>100</v>
      </c>
      <c r="F17" s="125">
        <v>1800</v>
      </c>
      <c r="G17" s="10">
        <v>600</v>
      </c>
      <c r="H17" s="10">
        <v>2320</v>
      </c>
      <c r="I17" s="10">
        <v>4524</v>
      </c>
    </row>
    <row r="18" spans="1:12" x14ac:dyDescent="0.25">
      <c r="A18" s="24" t="str">
        <f>"3213"</f>
        <v>3213</v>
      </c>
      <c r="B18" s="5" t="str">
        <f>"Kost och logi under tävlingar"</f>
        <v>Kost och logi under tävlingar</v>
      </c>
      <c r="C18" s="140"/>
      <c r="D18" s="104"/>
      <c r="E18" s="153">
        <v>9855</v>
      </c>
      <c r="F18" s="125">
        <v>2400</v>
      </c>
      <c r="G18" s="10">
        <v>11950</v>
      </c>
      <c r="H18" s="10">
        <v>420</v>
      </c>
      <c r="I18" s="10">
        <v>1818</v>
      </c>
    </row>
    <row r="19" spans="1:12" x14ac:dyDescent="0.25">
      <c r="A19" s="24">
        <v>3214</v>
      </c>
      <c r="B19" s="6" t="s">
        <v>9</v>
      </c>
      <c r="C19" s="140"/>
      <c r="D19" s="104"/>
      <c r="E19" s="153"/>
      <c r="F19" s="125"/>
      <c r="G19" s="10"/>
      <c r="H19" s="10">
        <v>1675</v>
      </c>
      <c r="I19" s="10">
        <v>1245</v>
      </c>
    </row>
    <row r="20" spans="1:12" x14ac:dyDescent="0.25">
      <c r="A20" s="24" t="str">
        <f>"3220"</f>
        <v>3220</v>
      </c>
      <c r="B20" s="44" t="str">
        <f>"Intäkter läger"</f>
        <v>Intäkter läger</v>
      </c>
      <c r="C20" s="141"/>
      <c r="D20" s="104"/>
      <c r="E20" s="153"/>
      <c r="F20" s="126"/>
      <c r="G20" s="10"/>
      <c r="H20" s="10">
        <v>0</v>
      </c>
      <c r="I20" s="10">
        <v>0</v>
      </c>
    </row>
    <row r="21" spans="1:12" x14ac:dyDescent="0.25">
      <c r="A21" s="24" t="str">
        <f>"3221"</f>
        <v>3221</v>
      </c>
      <c r="B21" s="5" t="s">
        <v>10</v>
      </c>
      <c r="C21" s="140">
        <v>10000</v>
      </c>
      <c r="D21" s="104">
        <v>5000</v>
      </c>
      <c r="E21" s="153">
        <v>5450</v>
      </c>
      <c r="F21" s="125">
        <v>1650</v>
      </c>
      <c r="G21" s="10">
        <v>5800</v>
      </c>
      <c r="H21" s="10">
        <v>10900</v>
      </c>
      <c r="I21" s="10">
        <v>6390</v>
      </c>
    </row>
    <row r="22" spans="1:12" x14ac:dyDescent="0.25">
      <c r="A22" s="24" t="s">
        <v>11</v>
      </c>
      <c r="B22" s="5" t="s">
        <v>12</v>
      </c>
      <c r="C22" s="140"/>
      <c r="D22" s="104"/>
      <c r="E22" s="153"/>
      <c r="F22" s="125"/>
      <c r="G22" s="10"/>
      <c r="H22" s="10">
        <v>400</v>
      </c>
      <c r="I22" s="10">
        <v>0</v>
      </c>
    </row>
    <row r="23" spans="1:12" x14ac:dyDescent="0.25">
      <c r="A23" s="24" t="str">
        <f>"3223"</f>
        <v>3223</v>
      </c>
      <c r="B23" s="5" t="str">
        <f>"Intäkter SM läger"</f>
        <v>Intäkter SM läger</v>
      </c>
      <c r="C23" s="140">
        <v>27000</v>
      </c>
      <c r="D23" s="104">
        <v>12000</v>
      </c>
      <c r="E23" s="153">
        <v>7500</v>
      </c>
      <c r="F23" s="125">
        <v>8400</v>
      </c>
      <c r="G23" s="10">
        <v>11200</v>
      </c>
      <c r="H23" s="10">
        <v>11700</v>
      </c>
      <c r="I23" s="10">
        <v>15000</v>
      </c>
    </row>
    <row r="24" spans="1:12" x14ac:dyDescent="0.25">
      <c r="A24" s="24" t="s">
        <v>13</v>
      </c>
      <c r="B24" s="5" t="s">
        <v>14</v>
      </c>
      <c r="C24" s="140">
        <v>12000</v>
      </c>
      <c r="D24" s="104">
        <v>14000</v>
      </c>
      <c r="E24" s="153"/>
      <c r="F24" s="125">
        <v>13415.5</v>
      </c>
      <c r="G24" s="10">
        <v>6734</v>
      </c>
      <c r="H24" s="10"/>
      <c r="I24" s="10"/>
    </row>
    <row r="25" spans="1:12" x14ac:dyDescent="0.25">
      <c r="A25" s="24" t="str">
        <f>"3310"</f>
        <v>3310</v>
      </c>
      <c r="B25" s="5" t="str">
        <f>"Bingolotto"</f>
        <v>Bingolotto</v>
      </c>
      <c r="C25" s="140">
        <v>4000</v>
      </c>
      <c r="D25" s="104">
        <v>2000</v>
      </c>
      <c r="E25" s="153">
        <v>3601</v>
      </c>
      <c r="F25" s="125">
        <v>2388</v>
      </c>
      <c r="G25" s="10">
        <v>1404</v>
      </c>
      <c r="H25" s="10">
        <v>3441</v>
      </c>
      <c r="I25" s="10">
        <v>5110</v>
      </c>
    </row>
    <row r="26" spans="1:12" x14ac:dyDescent="0.25">
      <c r="A26" s="24" t="str">
        <f>"3320"</f>
        <v>3320</v>
      </c>
      <c r="B26" s="5" t="str">
        <f>"Övrig lotteriverksamhet"</f>
        <v>Övrig lotteriverksamhet</v>
      </c>
      <c r="C26" s="140"/>
      <c r="D26" s="104"/>
      <c r="E26" s="153"/>
      <c r="F26" s="125"/>
      <c r="G26" s="10">
        <v>1430</v>
      </c>
      <c r="H26" s="10">
        <v>2410</v>
      </c>
      <c r="I26" s="10">
        <v>2260</v>
      </c>
    </row>
    <row r="27" spans="1:12" x14ac:dyDescent="0.25">
      <c r="A27" s="24" t="s">
        <v>15</v>
      </c>
      <c r="B27" s="5" t="s">
        <v>16</v>
      </c>
      <c r="C27" s="140"/>
      <c r="D27" s="104"/>
      <c r="E27" s="153"/>
      <c r="F27" s="125"/>
      <c r="G27" s="10"/>
      <c r="H27" s="10"/>
      <c r="I27" s="10"/>
    </row>
    <row r="28" spans="1:12" x14ac:dyDescent="0.25">
      <c r="A28" s="24" t="str">
        <f>"3420"</f>
        <v>3420</v>
      </c>
      <c r="B28" s="5" t="str">
        <f>"Intäkter Sponsorer"</f>
        <v>Intäkter Sponsorer</v>
      </c>
      <c r="C28" s="140">
        <v>49000</v>
      </c>
      <c r="D28" s="104">
        <v>52000</v>
      </c>
      <c r="E28" s="153">
        <v>47570</v>
      </c>
      <c r="F28" s="125">
        <v>41400</v>
      </c>
      <c r="G28" s="10">
        <v>87700</v>
      </c>
      <c r="H28" s="10">
        <v>46000</v>
      </c>
      <c r="I28" s="10">
        <v>123500</v>
      </c>
      <c r="K28" s="4"/>
      <c r="L28" s="4"/>
    </row>
    <row r="29" spans="1:12" x14ac:dyDescent="0.25">
      <c r="A29" s="24" t="str">
        <f>"3421"</f>
        <v>3421</v>
      </c>
      <c r="B29" s="5" t="s">
        <v>17</v>
      </c>
      <c r="C29" s="140">
        <v>20000</v>
      </c>
      <c r="D29" s="104">
        <v>20000</v>
      </c>
      <c r="E29" s="153">
        <v>53000</v>
      </c>
      <c r="F29" s="125">
        <v>28000</v>
      </c>
      <c r="G29" s="10">
        <v>20000</v>
      </c>
      <c r="H29" s="10">
        <v>131800</v>
      </c>
      <c r="I29" s="10">
        <v>38000</v>
      </c>
    </row>
    <row r="30" spans="1:12" x14ac:dyDescent="0.25">
      <c r="A30" s="24" t="s">
        <v>18</v>
      </c>
      <c r="B30" s="5" t="s">
        <v>19</v>
      </c>
      <c r="C30" s="140"/>
      <c r="D30" s="104"/>
      <c r="E30" s="153">
        <v>26179</v>
      </c>
      <c r="F30" s="125">
        <v>50350</v>
      </c>
      <c r="G30" s="10">
        <v>35000</v>
      </c>
      <c r="H30" s="10">
        <v>13000</v>
      </c>
      <c r="I30" s="10"/>
    </row>
    <row r="31" spans="1:12" x14ac:dyDescent="0.25">
      <c r="A31" s="24" t="str">
        <f>"3430"</f>
        <v>3430</v>
      </c>
      <c r="B31" s="5" t="str">
        <f>"Intäkter föräldrarföreningen"</f>
        <v>Intäkter föräldrarföreningen</v>
      </c>
      <c r="C31" s="140"/>
      <c r="D31" s="104"/>
      <c r="E31" s="153"/>
      <c r="F31" s="127"/>
      <c r="G31" s="10">
        <v>15000</v>
      </c>
      <c r="H31" s="10">
        <v>15500</v>
      </c>
      <c r="I31" s="10">
        <v>15700.33</v>
      </c>
    </row>
    <row r="32" spans="1:12" x14ac:dyDescent="0.25">
      <c r="A32" s="24" t="str">
        <f>"3520"</f>
        <v>3520</v>
      </c>
      <c r="B32" s="5" t="str">
        <f>"Intäkter Kanotförsäkring"</f>
        <v>Intäkter Kanotförsäkring</v>
      </c>
      <c r="C32" s="140">
        <v>3000</v>
      </c>
      <c r="D32" s="104">
        <v>4000</v>
      </c>
      <c r="E32" s="153">
        <v>3028</v>
      </c>
      <c r="F32" s="127">
        <v>3830</v>
      </c>
      <c r="G32" s="10">
        <v>5976</v>
      </c>
      <c r="H32" s="10">
        <v>7016</v>
      </c>
      <c r="I32" s="10">
        <v>12551.33</v>
      </c>
    </row>
    <row r="33" spans="1:13" x14ac:dyDescent="0.25">
      <c r="A33" s="24" t="s">
        <v>95</v>
      </c>
      <c r="B33" s="5" t="s">
        <v>96</v>
      </c>
      <c r="C33" s="140"/>
      <c r="D33" s="104"/>
      <c r="E33" s="153"/>
      <c r="F33" s="127"/>
      <c r="G33" s="10"/>
      <c r="H33" s="10">
        <v>720</v>
      </c>
      <c r="I33" s="10"/>
    </row>
    <row r="34" spans="1:13" x14ac:dyDescent="0.25">
      <c r="A34" s="24" t="str">
        <f>"3710"</f>
        <v>3710</v>
      </c>
      <c r="B34" s="5" t="str">
        <f>"Kommunala bidrag"</f>
        <v>Kommunala bidrag</v>
      </c>
      <c r="C34" s="140">
        <v>53000</v>
      </c>
      <c r="D34" s="104">
        <v>52000</v>
      </c>
      <c r="E34" s="153">
        <v>52860</v>
      </c>
      <c r="F34" s="127">
        <v>51090</v>
      </c>
      <c r="G34" s="10">
        <v>62752</v>
      </c>
      <c r="H34" s="10">
        <v>49944</v>
      </c>
      <c r="I34" s="10">
        <v>60337</v>
      </c>
    </row>
    <row r="35" spans="1:13" x14ac:dyDescent="0.25">
      <c r="A35" s="24" t="str">
        <f>"3730"</f>
        <v>3730</v>
      </c>
      <c r="B35" s="5" t="str">
        <f>"LOK-stöd Riksidrottsförbundet"</f>
        <v>LOK-stöd Riksidrottsförbundet</v>
      </c>
      <c r="C35" s="140">
        <v>34000</v>
      </c>
      <c r="D35" s="104">
        <v>35000</v>
      </c>
      <c r="E35" s="153">
        <v>33824</v>
      </c>
      <c r="F35" s="127">
        <v>39430</v>
      </c>
      <c r="G35" s="10">
        <v>37396</v>
      </c>
      <c r="H35" s="10">
        <v>35358.68</v>
      </c>
      <c r="I35" s="10">
        <v>33200.36</v>
      </c>
    </row>
    <row r="36" spans="1:13" x14ac:dyDescent="0.25">
      <c r="A36" s="24" t="s">
        <v>22</v>
      </c>
      <c r="B36" s="5" t="s">
        <v>23</v>
      </c>
      <c r="C36" s="140"/>
      <c r="D36" s="104"/>
      <c r="E36" s="153"/>
      <c r="F36" s="127"/>
      <c r="G36" s="10"/>
      <c r="H36" s="10"/>
      <c r="I36" s="10"/>
    </row>
    <row r="37" spans="1:13" x14ac:dyDescent="0.25">
      <c r="A37" s="24" t="str">
        <f>"3790"</f>
        <v>3790</v>
      </c>
      <c r="B37" s="5" t="s">
        <v>97</v>
      </c>
      <c r="C37" s="140"/>
      <c r="D37" s="104"/>
      <c r="E37" s="153"/>
      <c r="F37" s="127"/>
      <c r="G37" s="10">
        <v>6500</v>
      </c>
      <c r="H37" s="10">
        <v>122</v>
      </c>
      <c r="I37" s="10">
        <v>43544</v>
      </c>
      <c r="M37" s="4"/>
    </row>
    <row r="38" spans="1:13" x14ac:dyDescent="0.25">
      <c r="A38" s="26"/>
      <c r="B38" s="6"/>
      <c r="C38" s="140"/>
      <c r="D38" s="104"/>
      <c r="E38" s="153"/>
      <c r="F38" s="127"/>
      <c r="G38" s="10"/>
      <c r="H38" s="10"/>
      <c r="I38" s="10"/>
    </row>
    <row r="39" spans="1:13" s="1" customFormat="1" ht="15.75" thickBot="1" x14ac:dyDescent="0.3">
      <c r="A39" s="27" t="str">
        <f>"S:a Nettoomsättning"</f>
        <v>S:a Nettoomsättning</v>
      </c>
      <c r="B39" s="14"/>
      <c r="C39" s="142">
        <f>SUM(C8:C38)</f>
        <v>412000</v>
      </c>
      <c r="D39" s="107">
        <f>SUM(D8:D37)</f>
        <v>379000</v>
      </c>
      <c r="E39" s="154">
        <f>SUM(E8:E37)</f>
        <v>446630</v>
      </c>
      <c r="F39" s="119">
        <f>SUM(F8:F37)</f>
        <v>423883.5</v>
      </c>
      <c r="G39" s="28">
        <f>SUM(G8:G38)</f>
        <v>459292</v>
      </c>
      <c r="H39" s="28">
        <f>SUM(H8:H38)</f>
        <v>459437.63</v>
      </c>
      <c r="I39" s="28">
        <f>SUM(I8:I38)</f>
        <v>492987.96</v>
      </c>
      <c r="M39" s="120"/>
    </row>
    <row r="40" spans="1:13" x14ac:dyDescent="0.25">
      <c r="A40" s="19"/>
      <c r="B40" s="20"/>
      <c r="C40" s="137"/>
      <c r="D40" s="106"/>
      <c r="E40" s="155"/>
      <c r="F40" s="128"/>
      <c r="G40" s="30"/>
      <c r="H40" s="30"/>
      <c r="I40" s="30"/>
    </row>
    <row r="41" spans="1:13" x14ac:dyDescent="0.25">
      <c r="A41" s="22" t="str">
        <f>"Aktiverat arbete för egen räkning"</f>
        <v>Aktiverat arbete för egen räkning</v>
      </c>
      <c r="B41" s="6"/>
      <c r="C41" s="136"/>
      <c r="D41" s="104"/>
      <c r="E41" s="153"/>
      <c r="F41" s="129"/>
      <c r="G41" s="10"/>
      <c r="H41" s="10"/>
      <c r="I41" s="10"/>
    </row>
    <row r="42" spans="1:13" x14ac:dyDescent="0.25">
      <c r="A42" s="24" t="s">
        <v>25</v>
      </c>
      <c r="B42" s="6" t="s">
        <v>26</v>
      </c>
      <c r="C42" s="143"/>
      <c r="D42" s="104"/>
      <c r="E42" s="153"/>
      <c r="F42" s="127">
        <v>0</v>
      </c>
      <c r="G42" s="10"/>
      <c r="H42" s="10"/>
      <c r="I42" s="10">
        <v>10541.06</v>
      </c>
    </row>
    <row r="43" spans="1:13" x14ac:dyDescent="0.25">
      <c r="A43" s="24" t="str">
        <f>"3813"</f>
        <v>3813</v>
      </c>
      <c r="B43" s="5" t="s">
        <v>27</v>
      </c>
      <c r="C43" s="143"/>
      <c r="D43" s="104"/>
      <c r="E43" s="153">
        <v>2850</v>
      </c>
      <c r="F43" s="127">
        <v>0</v>
      </c>
      <c r="G43" s="10">
        <v>2000</v>
      </c>
      <c r="H43" s="10"/>
      <c r="I43" s="10">
        <v>8000</v>
      </c>
    </row>
    <row r="44" spans="1:13" x14ac:dyDescent="0.25">
      <c r="A44" s="26"/>
      <c r="B44" s="6"/>
      <c r="C44" s="136"/>
      <c r="D44" s="104"/>
      <c r="E44" s="153"/>
      <c r="F44" s="129"/>
      <c r="G44" s="10"/>
      <c r="H44" s="10"/>
      <c r="I44" s="10"/>
    </row>
    <row r="45" spans="1:13" s="1" customFormat="1" ht="15.75" thickBot="1" x14ac:dyDescent="0.3">
      <c r="A45" s="27" t="str">
        <f>"S:a Aktiverat arbete för egen räkning"</f>
        <v>S:a Aktiverat arbete för egen räkning</v>
      </c>
      <c r="B45" s="14"/>
      <c r="C45" s="144">
        <f>SUM(C42:C44)</f>
        <v>0</v>
      </c>
      <c r="D45" s="105">
        <f>SUM(D42:D43)</f>
        <v>0</v>
      </c>
      <c r="E45" s="109">
        <f>SUM(E42:E43)</f>
        <v>2850</v>
      </c>
      <c r="F45" s="119">
        <f>SUM(F42:F44)</f>
        <v>0</v>
      </c>
      <c r="G45" s="28">
        <f>SUM(G42:G44)</f>
        <v>2000</v>
      </c>
      <c r="H45" s="28">
        <f>SUM(H42:H43)</f>
        <v>0</v>
      </c>
      <c r="I45" s="28">
        <f>SUM(I42:I44)</f>
        <v>18541.059999999998</v>
      </c>
    </row>
    <row r="46" spans="1:13" x14ac:dyDescent="0.25">
      <c r="A46" s="19"/>
      <c r="B46" s="20"/>
      <c r="C46" s="137"/>
      <c r="D46" s="106"/>
      <c r="E46" s="155"/>
      <c r="F46" s="128"/>
      <c r="G46" s="30"/>
      <c r="H46" s="30"/>
      <c r="I46" s="30"/>
    </row>
    <row r="47" spans="1:13" x14ac:dyDescent="0.25">
      <c r="A47" s="22" t="str">
        <f>"Övriga rörelseintäkter"</f>
        <v>Övriga rörelseintäkter</v>
      </c>
      <c r="B47" s="6"/>
      <c r="C47" s="136"/>
      <c r="D47" s="104"/>
      <c r="E47" s="153"/>
      <c r="F47" s="129"/>
      <c r="G47" s="10"/>
      <c r="H47" s="10"/>
      <c r="I47" s="10"/>
    </row>
    <row r="48" spans="1:13" x14ac:dyDescent="0.25">
      <c r="A48" s="24" t="str">
        <f>"3990"</f>
        <v>3990</v>
      </c>
      <c r="B48" s="5" t="str">
        <f>"Övr ersättn och intäkter"</f>
        <v>Övr ersättn och intäkter</v>
      </c>
      <c r="C48" s="145"/>
      <c r="D48" s="104"/>
      <c r="E48" s="153"/>
      <c r="F48" s="127"/>
      <c r="G48" s="10">
        <v>5500</v>
      </c>
      <c r="H48" s="10">
        <v>6126</v>
      </c>
      <c r="I48" s="10">
        <v>15361</v>
      </c>
    </row>
    <row r="49" spans="1:61" x14ac:dyDescent="0.25">
      <c r="A49" s="24" t="str">
        <f>"3991"</f>
        <v>3991</v>
      </c>
      <c r="B49" s="5" t="str">
        <f>"Team Porto"</f>
        <v>Team Porto</v>
      </c>
      <c r="C49" s="145"/>
      <c r="D49" s="104"/>
      <c r="E49" s="153"/>
      <c r="F49" s="127"/>
      <c r="G49" s="10">
        <v>0</v>
      </c>
      <c r="H49" s="10"/>
      <c r="I49" s="10">
        <v>1500</v>
      </c>
    </row>
    <row r="50" spans="1:61" x14ac:dyDescent="0.25">
      <c r="A50" s="24" t="str">
        <f>"3992"</f>
        <v>3992</v>
      </c>
      <c r="B50" s="5" t="s">
        <v>98</v>
      </c>
      <c r="C50" s="145"/>
      <c r="D50" s="104"/>
      <c r="E50" s="153"/>
      <c r="F50" s="127"/>
      <c r="G50" s="10">
        <v>6160</v>
      </c>
      <c r="H50" s="10">
        <v>9370</v>
      </c>
      <c r="I50" s="10">
        <v>10010</v>
      </c>
    </row>
    <row r="51" spans="1:61" x14ac:dyDescent="0.25">
      <c r="A51" s="118">
        <v>3680</v>
      </c>
      <c r="B51" s="6" t="s">
        <v>29</v>
      </c>
      <c r="C51" s="145"/>
      <c r="D51" s="104"/>
      <c r="E51" s="153"/>
      <c r="F51" s="129"/>
      <c r="G51" s="10"/>
      <c r="H51" s="10"/>
      <c r="I51" s="10"/>
    </row>
    <row r="52" spans="1:61" s="1" customFormat="1" ht="15.75" thickBot="1" x14ac:dyDescent="0.3">
      <c r="A52" s="27" t="str">
        <f>"S:a Övriga rörelseintäkter"</f>
        <v>S:a Övriga rörelseintäkter</v>
      </c>
      <c r="B52" s="14"/>
      <c r="C52" s="146">
        <f>SUM(C48:C51)</f>
        <v>0</v>
      </c>
      <c r="D52" s="105">
        <f>SUM(D48:D51)</f>
        <v>0</v>
      </c>
      <c r="E52" s="109">
        <f>SUM(E48:E51)</f>
        <v>0</v>
      </c>
      <c r="F52" s="119">
        <f t="shared" ref="F52:I52" si="0">SUM(F48:F51)</f>
        <v>0</v>
      </c>
      <c r="G52" s="28">
        <f t="shared" si="0"/>
        <v>11660</v>
      </c>
      <c r="H52" s="28">
        <f t="shared" si="0"/>
        <v>15496</v>
      </c>
      <c r="I52" s="28">
        <f t="shared" si="0"/>
        <v>26871</v>
      </c>
    </row>
    <row r="53" spans="1:61" x14ac:dyDescent="0.25">
      <c r="A53" s="19"/>
      <c r="B53" s="20"/>
      <c r="C53" s="137"/>
      <c r="D53" s="106"/>
      <c r="E53" s="155"/>
      <c r="F53" s="128"/>
      <c r="G53" s="30"/>
      <c r="H53" s="30"/>
      <c r="I53" s="30"/>
    </row>
    <row r="54" spans="1:61" x14ac:dyDescent="0.25">
      <c r="A54" s="26"/>
      <c r="B54" s="6"/>
      <c r="C54" s="136"/>
      <c r="D54" s="104"/>
      <c r="E54" s="153"/>
      <c r="F54" s="129"/>
      <c r="G54" s="10"/>
      <c r="H54" s="10"/>
      <c r="I54" s="10"/>
    </row>
    <row r="55" spans="1:61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47">
        <f>C39+C45+C52</f>
        <v>412000</v>
      </c>
      <c r="D55" s="110">
        <f>D39+D45+D52</f>
        <v>379000</v>
      </c>
      <c r="E55" s="112">
        <f>E39+E45+E52</f>
        <v>449480</v>
      </c>
      <c r="F55" s="111">
        <f t="shared" ref="F55:I55" si="1">F39+F45+F52</f>
        <v>423883.5</v>
      </c>
      <c r="G55" s="34">
        <f t="shared" si="1"/>
        <v>472952</v>
      </c>
      <c r="H55" s="34">
        <f t="shared" si="1"/>
        <v>474933.63</v>
      </c>
      <c r="I55" s="34">
        <f t="shared" si="1"/>
        <v>538400.02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5">
      <c r="A56" s="19"/>
      <c r="B56" s="20"/>
      <c r="C56" s="137"/>
      <c r="D56" s="106"/>
      <c r="E56" s="155"/>
      <c r="F56" s="128"/>
      <c r="G56" s="30"/>
      <c r="H56" s="30"/>
      <c r="I56" s="30"/>
    </row>
    <row r="57" spans="1:61" x14ac:dyDescent="0.25">
      <c r="A57" s="22" t="str">
        <f>"Rörelsens kostnader"</f>
        <v>Rörelsens kostnader</v>
      </c>
      <c r="B57" s="6"/>
      <c r="C57" s="136"/>
      <c r="D57" s="104"/>
      <c r="E57" s="153"/>
      <c r="F57" s="129"/>
      <c r="G57" s="10"/>
      <c r="H57" s="10"/>
      <c r="I57" s="10"/>
    </row>
    <row r="58" spans="1:61" x14ac:dyDescent="0.25">
      <c r="A58" s="22" t="str">
        <f>"Råvaror och förnödenheter mm"</f>
        <v>Råvaror och förnödenheter mm</v>
      </c>
      <c r="B58" s="6"/>
      <c r="C58" s="136"/>
      <c r="D58" s="104"/>
      <c r="E58" s="153"/>
      <c r="F58" s="129"/>
      <c r="G58" s="10"/>
      <c r="H58" s="10"/>
      <c r="I58" s="10"/>
    </row>
    <row r="59" spans="1:61" x14ac:dyDescent="0.25">
      <c r="A59" s="24" t="str">
        <f>"4010"</f>
        <v>4010</v>
      </c>
      <c r="B59" s="5" t="str">
        <f>"Tävlingskostnader"</f>
        <v>Tävlingskostnader</v>
      </c>
      <c r="C59" s="148"/>
      <c r="D59" s="104"/>
      <c r="E59" s="153"/>
      <c r="F59" s="127"/>
      <c r="G59" s="56"/>
      <c r="H59" s="56"/>
      <c r="I59" s="10">
        <v>0</v>
      </c>
    </row>
    <row r="60" spans="1:61" x14ac:dyDescent="0.25">
      <c r="A60" s="24" t="str">
        <f>"4011"</f>
        <v>4011</v>
      </c>
      <c r="B60" s="5" t="str">
        <f>"Anmälningsavgifter"</f>
        <v>Anmälningsavgifter</v>
      </c>
      <c r="C60" s="148">
        <v>-38000</v>
      </c>
      <c r="D60" s="104">
        <v>-42000</v>
      </c>
      <c r="E60" s="153">
        <v>-37403</v>
      </c>
      <c r="F60" s="127">
        <v>-44933</v>
      </c>
      <c r="G60" s="10">
        <v>-34575</v>
      </c>
      <c r="H60" s="10">
        <v>-41560</v>
      </c>
      <c r="I60" s="10">
        <v>-45206</v>
      </c>
    </row>
    <row r="61" spans="1:61" x14ac:dyDescent="0.25">
      <c r="A61" s="24" t="str">
        <f>"4012"</f>
        <v>4012</v>
      </c>
      <c r="B61" s="5" t="str">
        <f>"transportkostnader"</f>
        <v>transportkostnader</v>
      </c>
      <c r="C61" s="148">
        <v>-5000</v>
      </c>
      <c r="D61" s="104">
        <v>-5000</v>
      </c>
      <c r="E61" s="153">
        <v>-3897.5</v>
      </c>
      <c r="F61" s="127">
        <v>-10378</v>
      </c>
      <c r="G61" s="10">
        <v>-2091</v>
      </c>
      <c r="H61" s="10">
        <v>-13186</v>
      </c>
      <c r="I61" s="10">
        <v>-25424</v>
      </c>
    </row>
    <row r="62" spans="1:61" x14ac:dyDescent="0.25">
      <c r="A62" s="24" t="str">
        <f>"4013"</f>
        <v>4013</v>
      </c>
      <c r="B62" s="5" t="str">
        <f>"Kost och logi under tävlingar"</f>
        <v>Kost och logi under tävlingar</v>
      </c>
      <c r="C62" s="148"/>
      <c r="D62" s="104"/>
      <c r="E62" s="153">
        <v>-12490</v>
      </c>
      <c r="F62" s="127">
        <v>-3540</v>
      </c>
      <c r="G62" s="10">
        <v>-13460</v>
      </c>
      <c r="H62" s="10">
        <v>-9340</v>
      </c>
      <c r="I62" s="10">
        <v>-4616</v>
      </c>
    </row>
    <row r="63" spans="1:61" x14ac:dyDescent="0.25">
      <c r="A63" s="24" t="str">
        <f>"4014"</f>
        <v>4014</v>
      </c>
      <c r="B63" s="5" t="str">
        <f>"Övriga tävlingskostnader"</f>
        <v>Övriga tävlingskostnader</v>
      </c>
      <c r="C63" s="148"/>
      <c r="D63" s="104"/>
      <c r="E63" s="153"/>
      <c r="F63" s="127"/>
      <c r="G63" s="10">
        <v>-2255</v>
      </c>
      <c r="H63" s="10">
        <v>-2210</v>
      </c>
      <c r="I63" s="10">
        <v>-4460</v>
      </c>
    </row>
    <row r="64" spans="1:61" x14ac:dyDescent="0.25">
      <c r="A64" s="24" t="str">
        <f>"4020"</f>
        <v>4020</v>
      </c>
      <c r="B64" s="5" t="str">
        <f>"Lägerkostnader"</f>
        <v>Lägerkostnader</v>
      </c>
      <c r="C64" s="148">
        <v>-6000</v>
      </c>
      <c r="D64" s="104">
        <v>-5000</v>
      </c>
      <c r="E64" s="153"/>
      <c r="F64" s="127">
        <v>-4627</v>
      </c>
      <c r="G64" s="56">
        <v>-8872</v>
      </c>
      <c r="H64" s="56"/>
      <c r="I64" s="10">
        <v>-1100</v>
      </c>
    </row>
    <row r="65" spans="1:14" x14ac:dyDescent="0.25">
      <c r="A65" s="24" t="str">
        <f>"4021"</f>
        <v>4021</v>
      </c>
      <c r="B65" s="5" t="str">
        <f>"Anmälningsavgifter, Läger"</f>
        <v>Anmälningsavgifter, Läger</v>
      </c>
      <c r="C65" s="148"/>
      <c r="D65" s="104"/>
      <c r="E65" s="153"/>
      <c r="F65" s="127"/>
      <c r="G65" s="10"/>
      <c r="H65" s="10">
        <v>-9550</v>
      </c>
      <c r="I65" s="10">
        <v>-17400</v>
      </c>
    </row>
    <row r="66" spans="1:14" x14ac:dyDescent="0.25">
      <c r="A66" s="24" t="str">
        <f>"4022"</f>
        <v>4022</v>
      </c>
      <c r="B66" s="5" t="str">
        <f>"Transportkostnader, Läger"</f>
        <v>Transportkostnader, Läger</v>
      </c>
      <c r="C66" s="148"/>
      <c r="D66" s="104"/>
      <c r="E66" s="153"/>
      <c r="F66" s="127"/>
      <c r="G66" s="10"/>
      <c r="H66" s="10">
        <v>-1248.75</v>
      </c>
      <c r="I66" s="10">
        <v>-6040.5</v>
      </c>
    </row>
    <row r="67" spans="1:14" x14ac:dyDescent="0.25">
      <c r="A67" s="24" t="s">
        <v>30</v>
      </c>
      <c r="B67" s="5" t="s">
        <v>31</v>
      </c>
      <c r="C67" s="148"/>
      <c r="D67" s="104"/>
      <c r="E67" s="153">
        <v>-1307</v>
      </c>
      <c r="F67" s="127"/>
      <c r="G67" s="10"/>
      <c r="H67" s="10"/>
      <c r="I67" s="10"/>
    </row>
    <row r="68" spans="1:14" x14ac:dyDescent="0.25">
      <c r="A68" s="24" t="str">
        <f>"4024"</f>
        <v>4024</v>
      </c>
      <c r="B68" s="5" t="str">
        <f>"SM läger"</f>
        <v>SM läger</v>
      </c>
      <c r="C68" s="148">
        <v>-59000</v>
      </c>
      <c r="D68" s="104">
        <v>-30000</v>
      </c>
      <c r="E68" s="153">
        <v>-16960</v>
      </c>
      <c r="F68" s="127">
        <v>-22174</v>
      </c>
      <c r="G68" s="10">
        <v>-28215</v>
      </c>
      <c r="H68" s="10">
        <v>-18672</v>
      </c>
      <c r="I68" s="10">
        <v>-28738</v>
      </c>
    </row>
    <row r="69" spans="1:14" x14ac:dyDescent="0.25">
      <c r="A69" s="24" t="s">
        <v>32</v>
      </c>
      <c r="B69" s="5" t="s">
        <v>33</v>
      </c>
      <c r="C69" s="148">
        <v>-68000</v>
      </c>
      <c r="D69" s="104">
        <v>-50000</v>
      </c>
      <c r="E69" s="153">
        <v>-68237</v>
      </c>
      <c r="F69" s="127">
        <v>-44493</v>
      </c>
      <c r="G69" s="10">
        <v>-56047</v>
      </c>
      <c r="H69" s="10"/>
      <c r="I69" s="10"/>
    </row>
    <row r="70" spans="1:14" x14ac:dyDescent="0.25">
      <c r="A70" s="24" t="str">
        <f>"4110"</f>
        <v>4110</v>
      </c>
      <c r="B70" s="5" t="str">
        <f>"Kostnader Kanotskolan"</f>
        <v>Kostnader Kanotskolan</v>
      </c>
      <c r="C70" s="148">
        <v>-15000</v>
      </c>
      <c r="D70" s="104">
        <v>-8000</v>
      </c>
      <c r="E70" s="153">
        <v>-17762</v>
      </c>
      <c r="F70" s="127">
        <v>-8052</v>
      </c>
      <c r="G70" s="10">
        <v>-10761</v>
      </c>
      <c r="H70" s="10">
        <v>-7341</v>
      </c>
      <c r="I70" s="10">
        <v>-8001.58</v>
      </c>
    </row>
    <row r="71" spans="1:14" x14ac:dyDescent="0.25">
      <c r="A71" s="24" t="s">
        <v>34</v>
      </c>
      <c r="B71" s="5" t="s">
        <v>35</v>
      </c>
      <c r="C71" s="148">
        <v>-9000</v>
      </c>
      <c r="D71" s="104">
        <v>-3000</v>
      </c>
      <c r="E71" s="153">
        <v>-10300</v>
      </c>
      <c r="F71" s="127">
        <v>-3600</v>
      </c>
      <c r="G71" s="10"/>
      <c r="H71" s="10"/>
      <c r="I71" s="10"/>
    </row>
    <row r="72" spans="1:14" x14ac:dyDescent="0.25">
      <c r="A72" s="24" t="str">
        <f>"4120"</f>
        <v>4120</v>
      </c>
      <c r="B72" s="5" t="str">
        <f>"Kostnad ungdomsverksamhet"</f>
        <v>Kostnad ungdomsverksamhet</v>
      </c>
      <c r="C72" s="148">
        <v>-10000</v>
      </c>
      <c r="D72" s="104">
        <v>-20000</v>
      </c>
      <c r="E72" s="153">
        <v>-5297</v>
      </c>
      <c r="F72" s="127">
        <v>-6599</v>
      </c>
      <c r="G72" s="10">
        <v>-11010</v>
      </c>
      <c r="H72" s="10">
        <v>-17340.04</v>
      </c>
      <c r="I72" s="10">
        <v>-17468</v>
      </c>
      <c r="J72" t="s">
        <v>111</v>
      </c>
      <c r="K72" t="s">
        <v>112</v>
      </c>
      <c r="L72" t="s">
        <v>113</v>
      </c>
      <c r="M72" t="s">
        <v>114</v>
      </c>
    </row>
    <row r="73" spans="1:14" x14ac:dyDescent="0.25">
      <c r="A73" s="24" t="str">
        <f>"4220"</f>
        <v>4220</v>
      </c>
      <c r="B73" s="5" t="s">
        <v>38</v>
      </c>
      <c r="C73" s="148">
        <v>-90000</v>
      </c>
      <c r="D73" s="104">
        <v>-25000</v>
      </c>
      <c r="E73" s="153">
        <v>-72611</v>
      </c>
      <c r="F73" s="127">
        <v>-83127</v>
      </c>
      <c r="G73" s="10">
        <v>-33278</v>
      </c>
      <c r="H73" s="10">
        <v>-172295</v>
      </c>
      <c r="I73" s="10">
        <v>-92241.06</v>
      </c>
      <c r="J73" s="161">
        <f>5*13000</f>
        <v>65000</v>
      </c>
      <c r="K73" s="162">
        <v>15000</v>
      </c>
      <c r="L73" s="162">
        <v>5000</v>
      </c>
      <c r="M73" s="162">
        <v>5000</v>
      </c>
      <c r="N73" s="4"/>
    </row>
    <row r="74" spans="1:14" x14ac:dyDescent="0.25">
      <c r="A74" s="24" t="str">
        <f>"4410"</f>
        <v>4410</v>
      </c>
      <c r="B74" s="5" t="str">
        <f>"Utgifter Skåneregattan"</f>
        <v>Utgifter Skåneregattan</v>
      </c>
      <c r="C74" s="148"/>
      <c r="D74" s="104"/>
      <c r="E74" s="153"/>
      <c r="F74" s="127"/>
      <c r="G74" s="10"/>
      <c r="H74" s="10">
        <v>-450</v>
      </c>
      <c r="I74" s="10">
        <v>-1141.8</v>
      </c>
    </row>
    <row r="75" spans="1:14" x14ac:dyDescent="0.25">
      <c r="A75" s="24" t="s">
        <v>39</v>
      </c>
      <c r="B75" s="5" t="s">
        <v>40</v>
      </c>
      <c r="C75" s="148"/>
      <c r="D75" s="104">
        <v>-16000</v>
      </c>
      <c r="E75" s="153">
        <v>-16508</v>
      </c>
      <c r="F75" s="127">
        <v>-21032</v>
      </c>
      <c r="G75" s="10">
        <v>-3618</v>
      </c>
      <c r="H75" s="10">
        <v>-2323</v>
      </c>
      <c r="I75" s="10"/>
    </row>
    <row r="76" spans="1:14" x14ac:dyDescent="0.25">
      <c r="A76" s="24" t="str">
        <f>"4610"</f>
        <v>4610</v>
      </c>
      <c r="B76" s="5" t="str">
        <f>"Mötesverksamhet"</f>
        <v>Mötesverksamhet</v>
      </c>
      <c r="C76" s="148">
        <v>-1000</v>
      </c>
      <c r="D76" s="104">
        <v>-1500</v>
      </c>
      <c r="E76" s="153">
        <v>-216</v>
      </c>
      <c r="F76" s="127">
        <v>-223</v>
      </c>
      <c r="G76" s="99">
        <v>-1906</v>
      </c>
      <c r="H76" s="10">
        <v>-5015</v>
      </c>
      <c r="I76" s="10">
        <v>-10973.5</v>
      </c>
    </row>
    <row r="77" spans="1:14" x14ac:dyDescent="0.25">
      <c r="A77" s="24" t="s">
        <v>43</v>
      </c>
      <c r="B77" s="5" t="s">
        <v>44</v>
      </c>
      <c r="C77" s="148"/>
      <c r="D77" s="104"/>
      <c r="E77" s="153"/>
      <c r="F77" s="127"/>
      <c r="G77" s="10">
        <v>-10840</v>
      </c>
      <c r="H77" s="10">
        <v>-8620</v>
      </c>
      <c r="I77" s="10"/>
    </row>
    <row r="78" spans="1:14" x14ac:dyDescent="0.25">
      <c r="A78" s="24" t="str">
        <f>"4710"</f>
        <v>4710</v>
      </c>
      <c r="B78" s="5" t="str">
        <f>"Märken och priser"</f>
        <v>Märken och priser</v>
      </c>
      <c r="C78" s="148">
        <v>-4000</v>
      </c>
      <c r="D78" s="104">
        <v>-5000</v>
      </c>
      <c r="E78" s="153">
        <v>-3710</v>
      </c>
      <c r="F78" s="127">
        <v>-6310</v>
      </c>
      <c r="G78" s="10">
        <v>-3790</v>
      </c>
      <c r="H78" s="10">
        <v>-2854</v>
      </c>
      <c r="I78" s="10">
        <v>-2967</v>
      </c>
    </row>
    <row r="79" spans="1:14" x14ac:dyDescent="0.25">
      <c r="A79" s="24" t="str">
        <f>"4800"</f>
        <v>4800</v>
      </c>
      <c r="B79" s="5" t="str">
        <f>"Medlemmarnas pengar"</f>
        <v>Medlemmarnas pengar</v>
      </c>
      <c r="C79" s="148"/>
      <c r="D79" s="104"/>
      <c r="E79" s="153"/>
      <c r="F79" s="127"/>
      <c r="G79" s="10"/>
      <c r="H79" s="10"/>
      <c r="I79" s="10">
        <v>-10691</v>
      </c>
    </row>
    <row r="80" spans="1:14" x14ac:dyDescent="0.25">
      <c r="A80" s="26"/>
      <c r="B80" s="6"/>
      <c r="C80" s="136"/>
      <c r="D80" s="104"/>
      <c r="E80" s="153"/>
      <c r="F80" s="129"/>
      <c r="G80" s="10"/>
      <c r="H80" s="10"/>
      <c r="I80" s="10"/>
    </row>
    <row r="81" spans="1:9" s="1" customFormat="1" ht="15.75" thickBot="1" x14ac:dyDescent="0.3">
      <c r="A81" s="27" t="str">
        <f>"S:a Råvaror och förnödenheter mm"</f>
        <v>S:a Råvaror och förnödenheter mm</v>
      </c>
      <c r="B81" s="14"/>
      <c r="C81" s="146">
        <f>SUM(C59:C79)</f>
        <v>-305000</v>
      </c>
      <c r="D81" s="105">
        <f>SUM(D59:D79)</f>
        <v>-210500</v>
      </c>
      <c r="E81" s="109">
        <f>SUM(E59:E79)</f>
        <v>-266698.5</v>
      </c>
      <c r="F81" s="119">
        <f>SUM(F59:F79)</f>
        <v>-259088</v>
      </c>
      <c r="G81" s="55">
        <f>SUM(G59:G80)</f>
        <v>-220718</v>
      </c>
      <c r="H81" s="28">
        <f>SUM(H60:H80)</f>
        <v>-312004.79000000004</v>
      </c>
      <c r="I81" s="28">
        <f>SUM(I59:I80)</f>
        <v>-276468.43999999994</v>
      </c>
    </row>
    <row r="82" spans="1:9" x14ac:dyDescent="0.25">
      <c r="A82" s="19"/>
      <c r="B82" s="20"/>
      <c r="C82" s="137"/>
      <c r="D82" s="106"/>
      <c r="E82" s="155"/>
      <c r="F82" s="128"/>
      <c r="G82" s="30"/>
      <c r="H82" s="30"/>
      <c r="I82" s="30"/>
    </row>
    <row r="83" spans="1:9" x14ac:dyDescent="0.25">
      <c r="A83" s="26"/>
      <c r="B83" s="6"/>
      <c r="C83" s="136"/>
      <c r="D83" s="104"/>
      <c r="E83" s="153"/>
      <c r="F83" s="129"/>
      <c r="G83" s="10"/>
      <c r="H83" s="10"/>
      <c r="I83" s="10"/>
    </row>
    <row r="84" spans="1:9" s="1" customFormat="1" ht="15.75" thickBot="1" x14ac:dyDescent="0.3">
      <c r="A84" s="27" t="str">
        <f>"Bruttovinst"</f>
        <v>Bruttovinst</v>
      </c>
      <c r="B84" s="14"/>
      <c r="C84" s="142">
        <f t="shared" ref="C84:I84" si="2">C55+C81</f>
        <v>107000</v>
      </c>
      <c r="D84" s="107">
        <f t="shared" si="2"/>
        <v>168500</v>
      </c>
      <c r="E84" s="154">
        <f t="shared" si="2"/>
        <v>182781.5</v>
      </c>
      <c r="F84" s="119">
        <f t="shared" si="2"/>
        <v>164795.5</v>
      </c>
      <c r="G84" s="28">
        <f t="shared" si="2"/>
        <v>252234</v>
      </c>
      <c r="H84" s="28">
        <f t="shared" si="2"/>
        <v>162928.83999999997</v>
      </c>
      <c r="I84" s="28">
        <f t="shared" si="2"/>
        <v>261931.58000000007</v>
      </c>
    </row>
    <row r="85" spans="1:9" x14ac:dyDescent="0.25">
      <c r="A85" s="19"/>
      <c r="B85" s="20"/>
      <c r="C85" s="137"/>
      <c r="D85" s="106"/>
      <c r="E85" s="155"/>
      <c r="F85" s="128"/>
      <c r="G85" s="30"/>
      <c r="H85" s="30"/>
      <c r="I85" s="30"/>
    </row>
    <row r="86" spans="1:9" x14ac:dyDescent="0.25">
      <c r="A86" s="22" t="str">
        <f>"Övriga externa kostnader"</f>
        <v>Övriga externa kostnader</v>
      </c>
      <c r="B86" s="6"/>
      <c r="C86" s="136"/>
      <c r="D86" s="104"/>
      <c r="E86" s="153"/>
      <c r="F86" s="129"/>
      <c r="G86" s="10"/>
      <c r="H86" s="10"/>
      <c r="I86" s="10"/>
    </row>
    <row r="87" spans="1:9" x14ac:dyDescent="0.25">
      <c r="A87" s="24" t="str">
        <f>"5110"</f>
        <v>5110</v>
      </c>
      <c r="B87" s="5" t="str">
        <f>"Arrende"</f>
        <v>Arrende</v>
      </c>
      <c r="C87" s="148">
        <v>-4000</v>
      </c>
      <c r="D87" s="104">
        <v>-1700</v>
      </c>
      <c r="E87" s="153">
        <v>-1643</v>
      </c>
      <c r="F87" s="127">
        <v>-1643</v>
      </c>
      <c r="G87" s="10">
        <v>-1637</v>
      </c>
      <c r="H87" s="10">
        <v>-1597</v>
      </c>
      <c r="I87" s="10">
        <v>-1579</v>
      </c>
    </row>
    <row r="88" spans="1:9" x14ac:dyDescent="0.25">
      <c r="A88" s="24" t="str">
        <f>"5120"</f>
        <v>5120</v>
      </c>
      <c r="B88" s="5" t="str">
        <f>"Elektricitet"</f>
        <v>Elektricitet</v>
      </c>
      <c r="C88" s="148">
        <v>-30000</v>
      </c>
      <c r="D88" s="104">
        <v>-29000</v>
      </c>
      <c r="E88" s="153">
        <v>-20192</v>
      </c>
      <c r="F88" s="127">
        <v>-28939</v>
      </c>
      <c r="G88" s="10">
        <v>-21334</v>
      </c>
      <c r="H88" s="10">
        <v>-27177</v>
      </c>
      <c r="I88" s="10">
        <v>-28561</v>
      </c>
    </row>
    <row r="89" spans="1:9" x14ac:dyDescent="0.25">
      <c r="A89" s="24" t="str">
        <f>"5140"</f>
        <v>5140</v>
      </c>
      <c r="B89" s="5" t="str">
        <f>"Vatten och sophämtning"</f>
        <v>Vatten och sophämtning</v>
      </c>
      <c r="C89" s="148">
        <v>-6000</v>
      </c>
      <c r="D89" s="104">
        <v>-6000</v>
      </c>
      <c r="E89" s="153">
        <v>-5849</v>
      </c>
      <c r="F89" s="127">
        <v>-6178</v>
      </c>
      <c r="G89" s="10">
        <v>-6077</v>
      </c>
      <c r="H89" s="10">
        <v>-5332</v>
      </c>
      <c r="I89" s="10">
        <v>-5798</v>
      </c>
    </row>
    <row r="90" spans="1:9" x14ac:dyDescent="0.25">
      <c r="A90" s="24" t="str">
        <f>"5170"</f>
        <v>5170</v>
      </c>
      <c r="B90" s="5" t="str">
        <f>"Fastighetsunderhåll"</f>
        <v>Fastighetsunderhåll</v>
      </c>
      <c r="C90" s="148">
        <v>-20000</v>
      </c>
      <c r="D90" s="104">
        <v>-20000</v>
      </c>
      <c r="E90" s="153">
        <v>-11455</v>
      </c>
      <c r="F90" s="127">
        <v>-53805</v>
      </c>
      <c r="G90" s="10">
        <v>-3691</v>
      </c>
      <c r="H90" s="10">
        <v>-3825</v>
      </c>
      <c r="I90" s="10">
        <v>-15856</v>
      </c>
    </row>
    <row r="91" spans="1:9" x14ac:dyDescent="0.25">
      <c r="A91" s="24" t="s">
        <v>47</v>
      </c>
      <c r="B91" s="5" t="s">
        <v>48</v>
      </c>
      <c r="C91" s="148"/>
      <c r="D91" s="104"/>
      <c r="E91" s="153">
        <v>-2437.5</v>
      </c>
      <c r="F91" s="127"/>
      <c r="G91" s="10">
        <v>-4528</v>
      </c>
      <c r="H91" s="10">
        <v>-2076</v>
      </c>
      <c r="I91" s="10"/>
    </row>
    <row r="92" spans="1:9" x14ac:dyDescent="0.25">
      <c r="A92" s="24" t="str">
        <f>"5410"</f>
        <v>5410</v>
      </c>
      <c r="B92" s="5" t="str">
        <f>"Förbrukningsinventarier"</f>
        <v>Förbrukningsinventarier</v>
      </c>
      <c r="C92" s="148">
        <v>-1000</v>
      </c>
      <c r="D92" s="104">
        <v>-1750</v>
      </c>
      <c r="E92" s="153">
        <v>-378</v>
      </c>
      <c r="F92" s="127">
        <v>-1675</v>
      </c>
      <c r="G92" s="10">
        <v>-992</v>
      </c>
      <c r="H92" s="10">
        <v>-618</v>
      </c>
      <c r="I92" s="10">
        <v>-3232.52</v>
      </c>
    </row>
    <row r="93" spans="1:9" x14ac:dyDescent="0.25">
      <c r="A93" s="24" t="str">
        <f>"5420"</f>
        <v>5420</v>
      </c>
      <c r="B93" s="5" t="str">
        <f>"Programvaror"</f>
        <v>Programvaror</v>
      </c>
      <c r="C93" s="148">
        <v>-2500</v>
      </c>
      <c r="D93" s="104">
        <v>-1200</v>
      </c>
      <c r="E93" s="153">
        <v>-1265</v>
      </c>
      <c r="F93" s="127">
        <v>-1200</v>
      </c>
      <c r="G93" s="10">
        <v>-1135</v>
      </c>
      <c r="H93" s="10">
        <v>-1075</v>
      </c>
      <c r="I93" s="10">
        <v>-1030</v>
      </c>
    </row>
    <row r="94" spans="1:9" x14ac:dyDescent="0.25">
      <c r="A94" s="24" t="s">
        <v>49</v>
      </c>
      <c r="B94" s="5" t="s">
        <v>50</v>
      </c>
      <c r="C94" s="148">
        <v>-3000</v>
      </c>
      <c r="D94" s="104"/>
      <c r="E94" s="153"/>
      <c r="F94" s="127"/>
      <c r="G94" s="10"/>
      <c r="H94" s="10"/>
      <c r="I94" s="10"/>
    </row>
    <row r="95" spans="1:9" x14ac:dyDescent="0.25">
      <c r="A95" s="24" t="str">
        <f>"5500"</f>
        <v>5500</v>
      </c>
      <c r="B95" s="5" t="str">
        <f>"Kanotunderhåll"</f>
        <v>Kanotunderhåll</v>
      </c>
      <c r="C95" s="148">
        <v>-5000</v>
      </c>
      <c r="D95" s="104">
        <v>-3000</v>
      </c>
      <c r="E95" s="153">
        <v>-2213</v>
      </c>
      <c r="F95" s="127">
        <v>-1400</v>
      </c>
      <c r="G95" s="10">
        <v>-1823</v>
      </c>
      <c r="H95" s="10">
        <v>-9680.2199999999993</v>
      </c>
      <c r="I95" s="10">
        <v>-7053.75</v>
      </c>
    </row>
    <row r="96" spans="1:9" x14ac:dyDescent="0.25">
      <c r="A96" s="24" t="str">
        <f>"5611"</f>
        <v>5611</v>
      </c>
      <c r="B96" s="5" t="s">
        <v>109</v>
      </c>
      <c r="C96" s="148">
        <v>-2000</v>
      </c>
      <c r="D96" s="104">
        <v>-2000</v>
      </c>
      <c r="E96" s="153">
        <v>-573</v>
      </c>
      <c r="F96" s="127">
        <v>-1867</v>
      </c>
      <c r="G96" s="10">
        <v>-664</v>
      </c>
      <c r="H96" s="10">
        <v>-1871.96</v>
      </c>
      <c r="I96" s="10">
        <v>-1083.4000000000001</v>
      </c>
    </row>
    <row r="97" spans="1:10" x14ac:dyDescent="0.25">
      <c r="A97" s="24" t="str">
        <f>"5612"</f>
        <v>5612</v>
      </c>
      <c r="B97" s="5" t="str">
        <f>"Försäkring"</f>
        <v>Försäkring</v>
      </c>
      <c r="C97" s="148">
        <v>-30000</v>
      </c>
      <c r="D97" s="104">
        <v>-40000</v>
      </c>
      <c r="E97" s="153">
        <v>-27736</v>
      </c>
      <c r="F97" s="127">
        <v>-43706</v>
      </c>
      <c r="G97" s="10">
        <v>-36936</v>
      </c>
      <c r="H97" s="10">
        <v>-36897</v>
      </c>
      <c r="I97" s="10">
        <v>-38130</v>
      </c>
    </row>
    <row r="98" spans="1:10" x14ac:dyDescent="0.25">
      <c r="A98" s="24" t="s">
        <v>52</v>
      </c>
      <c r="B98" s="5" t="s">
        <v>53</v>
      </c>
      <c r="C98" s="148">
        <v>-500</v>
      </c>
      <c r="D98" s="104">
        <v>-500</v>
      </c>
      <c r="E98" s="153"/>
      <c r="F98" s="127">
        <v>-400</v>
      </c>
      <c r="G98" s="10"/>
      <c r="H98" s="10">
        <v>-370</v>
      </c>
      <c r="I98" s="10">
        <v>-478</v>
      </c>
    </row>
    <row r="99" spans="1:10" x14ac:dyDescent="0.25">
      <c r="A99" s="24" t="str">
        <f>"5614"</f>
        <v>5614</v>
      </c>
      <c r="B99" s="5" t="str">
        <f>"Reparation och Underhåll"</f>
        <v>Reparation och Underhåll</v>
      </c>
      <c r="C99" s="148"/>
      <c r="D99" s="104"/>
      <c r="E99" s="153">
        <v>-315</v>
      </c>
      <c r="F99" s="127"/>
      <c r="G99" s="10">
        <v>-8985</v>
      </c>
      <c r="H99" s="10">
        <v>-53755</v>
      </c>
      <c r="I99" s="10">
        <v>-3823</v>
      </c>
    </row>
    <row r="100" spans="1:10" x14ac:dyDescent="0.25">
      <c r="A100" s="24" t="str">
        <f>"5620"</f>
        <v>5620</v>
      </c>
      <c r="B100" s="5" t="str">
        <f>"Kostnader motobåt"</f>
        <v>Kostnader motobåt</v>
      </c>
      <c r="C100" s="148">
        <v>-4000</v>
      </c>
      <c r="D100" s="104">
        <v>-4000</v>
      </c>
      <c r="E100" s="153">
        <v>-1476</v>
      </c>
      <c r="F100" s="127">
        <v>-1721</v>
      </c>
      <c r="G100" s="10"/>
      <c r="H100" s="10">
        <v>-4230</v>
      </c>
      <c r="I100" s="10">
        <v>-72</v>
      </c>
      <c r="J100" t="s">
        <v>115</v>
      </c>
    </row>
    <row r="101" spans="1:10" x14ac:dyDescent="0.25">
      <c r="A101" s="24" t="s">
        <v>55</v>
      </c>
      <c r="B101" s="5" t="s">
        <v>56</v>
      </c>
      <c r="C101" s="148"/>
      <c r="D101" s="104"/>
      <c r="E101" s="153"/>
      <c r="F101" s="127"/>
      <c r="G101" s="10">
        <v>-31345</v>
      </c>
      <c r="H101" s="10">
        <v>-2577</v>
      </c>
      <c r="I101" s="10">
        <v>-40000</v>
      </c>
    </row>
    <row r="102" spans="1:10" x14ac:dyDescent="0.25">
      <c r="A102" s="24" t="str">
        <f>"6110"</f>
        <v>6110</v>
      </c>
      <c r="B102" s="5" t="str">
        <f>"Kontorsmaterial"</f>
        <v>Kontorsmaterial</v>
      </c>
      <c r="C102" s="148">
        <v>-1000</v>
      </c>
      <c r="D102" s="104">
        <v>-1000</v>
      </c>
      <c r="E102" s="153">
        <v>-138</v>
      </c>
      <c r="F102" s="127">
        <v>-115</v>
      </c>
      <c r="G102" s="10">
        <v>-1193</v>
      </c>
      <c r="H102" s="10">
        <v>-1901</v>
      </c>
      <c r="I102" s="10">
        <v>-3241</v>
      </c>
    </row>
    <row r="103" spans="1:10" x14ac:dyDescent="0.25">
      <c r="A103" s="24" t="str">
        <f>"6210"</f>
        <v>6210</v>
      </c>
      <c r="B103" s="5" t="str">
        <f>"Telefon"</f>
        <v>Telefon</v>
      </c>
      <c r="C103" s="148"/>
      <c r="D103" s="104"/>
      <c r="E103" s="153">
        <v>-440</v>
      </c>
      <c r="F103" s="127">
        <v>-1928</v>
      </c>
      <c r="G103" s="10">
        <v>-2045</v>
      </c>
      <c r="H103" s="10">
        <v>-2666</v>
      </c>
      <c r="I103" s="10">
        <v>-2206</v>
      </c>
    </row>
    <row r="104" spans="1:10" x14ac:dyDescent="0.25">
      <c r="A104" s="24" t="str">
        <f>"6250"</f>
        <v>6250</v>
      </c>
      <c r="B104" s="5" t="str">
        <f>"Porto"</f>
        <v>Porto</v>
      </c>
      <c r="C104" s="148">
        <v>-200</v>
      </c>
      <c r="D104" s="104">
        <v>-200</v>
      </c>
      <c r="E104" s="153">
        <v>-60</v>
      </c>
      <c r="F104" s="127">
        <v>-60</v>
      </c>
      <c r="G104" s="10">
        <v>-629</v>
      </c>
      <c r="H104" s="10">
        <v>-627</v>
      </c>
      <c r="I104" s="10">
        <v>0</v>
      </c>
    </row>
    <row r="105" spans="1:10" x14ac:dyDescent="0.25">
      <c r="A105" s="24" t="str">
        <f>"6570"</f>
        <v>6570</v>
      </c>
      <c r="B105" s="5" t="str">
        <f>"Bankkostnader"</f>
        <v>Bankkostnader</v>
      </c>
      <c r="C105" s="148">
        <v>-2000</v>
      </c>
      <c r="D105" s="104">
        <v>-2000</v>
      </c>
      <c r="E105" s="153">
        <v>-1869</v>
      </c>
      <c r="F105" s="127">
        <v>-1971</v>
      </c>
      <c r="G105" s="10">
        <v>-3250</v>
      </c>
      <c r="H105" s="10">
        <v>-4564</v>
      </c>
      <c r="I105" s="10">
        <v>-3287.5</v>
      </c>
    </row>
    <row r="106" spans="1:10" x14ac:dyDescent="0.25">
      <c r="A106" s="24" t="str">
        <f>"6980"</f>
        <v>6980</v>
      </c>
      <c r="B106" s="5" t="str">
        <f>"Föreningsavgift /Licenser"</f>
        <v>Föreningsavgift /Licenser</v>
      </c>
      <c r="C106" s="148">
        <v>-32000</v>
      </c>
      <c r="D106" s="104">
        <v>-28000</v>
      </c>
      <c r="E106" s="153">
        <v>-26978</v>
      </c>
      <c r="F106" s="127">
        <v>-24550</v>
      </c>
      <c r="G106" s="10">
        <v>-19650</v>
      </c>
      <c r="H106" s="10">
        <v>-19072</v>
      </c>
      <c r="I106" s="10">
        <v>-2170</v>
      </c>
    </row>
    <row r="107" spans="1:10" x14ac:dyDescent="0.25">
      <c r="A107" s="24" t="str">
        <f>"6990"</f>
        <v>6990</v>
      </c>
      <c r="B107" s="5" t="str">
        <f>"Övriga Kostnader"</f>
        <v>Övriga Kostnader</v>
      </c>
      <c r="C107" s="148">
        <v>-2000</v>
      </c>
      <c r="D107" s="104">
        <v>-6000</v>
      </c>
      <c r="E107" s="153">
        <v>-3406.5</v>
      </c>
      <c r="F107" s="127">
        <v>-14526.5</v>
      </c>
      <c r="G107" s="10">
        <v>-4063</v>
      </c>
      <c r="H107" s="10">
        <v>-7471</v>
      </c>
      <c r="I107" s="10">
        <v>-3260.33</v>
      </c>
    </row>
    <row r="108" spans="1:10" x14ac:dyDescent="0.25">
      <c r="A108" s="24" t="str">
        <f>"6991"</f>
        <v>6991</v>
      </c>
      <c r="B108" s="5" t="str">
        <f>"Container"</f>
        <v>Container</v>
      </c>
      <c r="C108" s="148"/>
      <c r="D108" s="104"/>
      <c r="E108" s="153"/>
      <c r="F108" s="127"/>
      <c r="G108" s="10"/>
      <c r="H108" s="10"/>
      <c r="I108" s="10">
        <v>0</v>
      </c>
    </row>
    <row r="109" spans="1:10" x14ac:dyDescent="0.25">
      <c r="A109" s="26"/>
      <c r="B109" s="6"/>
      <c r="C109" s="136"/>
      <c r="D109" s="104"/>
      <c r="E109" s="153"/>
      <c r="F109" s="127"/>
      <c r="G109" s="10"/>
      <c r="H109" s="10"/>
      <c r="I109" s="10"/>
    </row>
    <row r="110" spans="1:10" s="1" customFormat="1" ht="15.75" thickBot="1" x14ac:dyDescent="0.3">
      <c r="A110" s="27" t="str">
        <f>"S:a Övriga externa kostnader"</f>
        <v>S:a Övriga externa kostnader</v>
      </c>
      <c r="B110" s="14"/>
      <c r="C110" s="146">
        <f>SUM(C87:C108)</f>
        <v>-145200</v>
      </c>
      <c r="D110" s="105">
        <f>SUM(D87:D108)</f>
        <v>-146350</v>
      </c>
      <c r="E110" s="109">
        <f>SUM(E87:E108)</f>
        <v>-108424</v>
      </c>
      <c r="F110" s="119">
        <f>SUM(F87:F108)</f>
        <v>-185684.5</v>
      </c>
      <c r="G110" s="55">
        <f>SUM(G87:G109)</f>
        <v>-149977</v>
      </c>
      <c r="H110" s="55">
        <f>SUM(H87:H109)</f>
        <v>-187382.18</v>
      </c>
      <c r="I110" s="28">
        <f>SUM(I87:I109)</f>
        <v>-160861.49999999997</v>
      </c>
    </row>
    <row r="111" spans="1:10" s="1" customFormat="1" ht="15.75" thickBot="1" x14ac:dyDescent="0.3">
      <c r="A111" s="80"/>
      <c r="B111" s="81"/>
      <c r="C111" s="151"/>
      <c r="D111" s="108"/>
      <c r="E111" s="158"/>
      <c r="F111" s="130"/>
      <c r="G111" s="84"/>
      <c r="H111" s="84"/>
      <c r="I111" s="85"/>
    </row>
    <row r="112" spans="1:10" x14ac:dyDescent="0.25">
      <c r="A112" s="19"/>
      <c r="B112" s="20"/>
      <c r="C112" s="137"/>
      <c r="D112" s="106"/>
      <c r="E112" s="155"/>
      <c r="F112" s="131"/>
      <c r="G112" s="30"/>
      <c r="H112" s="30"/>
      <c r="I112" s="30"/>
    </row>
    <row r="113" spans="1:61" x14ac:dyDescent="0.25">
      <c r="A113" s="22" t="str">
        <f>"Personalkostnader"</f>
        <v>Personalkostnader</v>
      </c>
      <c r="B113" s="6"/>
      <c r="C113" s="136"/>
      <c r="D113" s="104"/>
      <c r="E113" s="153"/>
      <c r="F113" s="127"/>
      <c r="G113" s="10"/>
      <c r="H113" s="10"/>
      <c r="I113" s="10"/>
    </row>
    <row r="114" spans="1:61" x14ac:dyDescent="0.25">
      <c r="A114" s="24" t="str">
        <f>"7110"</f>
        <v>7110</v>
      </c>
      <c r="B114" s="5" t="str">
        <f>"Träningsbidrag"</f>
        <v>Träningsbidrag</v>
      </c>
      <c r="C114" s="148">
        <v>-5000</v>
      </c>
      <c r="D114" s="104">
        <v>-5000</v>
      </c>
      <c r="E114" s="153">
        <v>-3200</v>
      </c>
      <c r="F114" s="127">
        <v>-4600</v>
      </c>
      <c r="G114" s="10">
        <v>-7600</v>
      </c>
      <c r="H114" s="10">
        <v>-8200</v>
      </c>
      <c r="I114" s="10">
        <v>0</v>
      </c>
    </row>
    <row r="115" spans="1:61" x14ac:dyDescent="0.25">
      <c r="A115" s="24" t="s">
        <v>57</v>
      </c>
      <c r="B115" s="5" t="s">
        <v>58</v>
      </c>
      <c r="C115" s="148">
        <v>-1600</v>
      </c>
      <c r="D115" s="104">
        <v>-2500</v>
      </c>
      <c r="E115" s="153">
        <v>-900</v>
      </c>
      <c r="F115" s="127">
        <v>-2200</v>
      </c>
      <c r="G115" s="10">
        <v>-1600</v>
      </c>
      <c r="H115" s="10"/>
      <c r="I115" s="10"/>
    </row>
    <row r="116" spans="1:61" x14ac:dyDescent="0.25">
      <c r="A116" s="24" t="str">
        <f>"7210"</f>
        <v>7210</v>
      </c>
      <c r="B116" s="5" t="str">
        <f>"Resekostnads ersättning"</f>
        <v>Resekostnads ersättning</v>
      </c>
      <c r="C116" s="148">
        <v>-8000</v>
      </c>
      <c r="D116" s="104">
        <v>-4000</v>
      </c>
      <c r="E116" s="153">
        <v>-6961</v>
      </c>
      <c r="F116" s="127">
        <v>-6040</v>
      </c>
      <c r="G116" s="10">
        <v>-5381</v>
      </c>
      <c r="H116" s="10">
        <v>-4548</v>
      </c>
      <c r="I116" s="10">
        <v>0</v>
      </c>
    </row>
    <row r="117" spans="1:61" x14ac:dyDescent="0.25">
      <c r="A117" s="24" t="str">
        <f>"7610"</f>
        <v>7610</v>
      </c>
      <c r="B117" s="5" t="str">
        <f>"Utbildning"</f>
        <v>Utbildning</v>
      </c>
      <c r="C117" s="148">
        <v>-15000</v>
      </c>
      <c r="D117" s="104">
        <v>-15000</v>
      </c>
      <c r="E117" s="153">
        <v>-11671</v>
      </c>
      <c r="F117" s="127">
        <v>-18925</v>
      </c>
      <c r="G117" s="10"/>
      <c r="H117" s="10">
        <v>-3530</v>
      </c>
      <c r="I117" s="10">
        <v>-6600</v>
      </c>
    </row>
    <row r="118" spans="1:61" x14ac:dyDescent="0.25">
      <c r="A118" s="26"/>
      <c r="B118" s="6"/>
      <c r="C118" s="136"/>
      <c r="D118" s="104"/>
      <c r="E118" s="153"/>
      <c r="F118" s="127"/>
      <c r="G118" s="10"/>
      <c r="H118" s="10"/>
      <c r="I118" s="10"/>
    </row>
    <row r="119" spans="1:61" s="1" customFormat="1" ht="15.75" thickBot="1" x14ac:dyDescent="0.3">
      <c r="A119" s="27" t="str">
        <f>"S:a Personalkostnader"</f>
        <v>S:a Personalkostnader</v>
      </c>
      <c r="B119" s="14"/>
      <c r="C119" s="146">
        <f>SUM(C114:C117)</f>
        <v>-29600</v>
      </c>
      <c r="D119" s="107">
        <f>SUM(D114:D117)</f>
        <v>-26500</v>
      </c>
      <c r="E119" s="154">
        <f>SUM(E114:E117)</f>
        <v>-22732</v>
      </c>
      <c r="F119" s="119">
        <f>SUM(F114:F117)</f>
        <v>-31765</v>
      </c>
      <c r="G119" s="55">
        <f>SUM(G114:G118)</f>
        <v>-14581</v>
      </c>
      <c r="H119" s="55">
        <f>SUM(H114:H118)</f>
        <v>-16278</v>
      </c>
      <c r="I119" s="28">
        <f>SUM(I114:I118)</f>
        <v>-6600</v>
      </c>
    </row>
    <row r="120" spans="1:61" x14ac:dyDescent="0.25">
      <c r="A120" s="19"/>
      <c r="B120" s="20"/>
      <c r="C120" s="137"/>
      <c r="D120" s="106"/>
      <c r="E120" s="155"/>
      <c r="F120" s="131"/>
      <c r="G120" s="30"/>
      <c r="H120" s="30"/>
      <c r="I120" s="30"/>
    </row>
    <row r="121" spans="1:61" x14ac:dyDescent="0.25">
      <c r="A121" s="26"/>
      <c r="B121" s="6"/>
      <c r="C121" s="136"/>
      <c r="D121" s="104"/>
      <c r="E121" s="153"/>
      <c r="F121" s="127"/>
      <c r="G121" s="10"/>
      <c r="H121" s="10"/>
      <c r="I121" s="10"/>
    </row>
    <row r="122" spans="1:61" s="2" customFormat="1" ht="15.75" thickBot="1" x14ac:dyDescent="0.3">
      <c r="A122" s="32" t="str">
        <f>"S:a Rörelsens kostnader inkl råvaror mm"</f>
        <v>S:a Rörelsens kostnader inkl råvaror mm</v>
      </c>
      <c r="B122" s="33"/>
      <c r="C122" s="149">
        <f>C81+C110+C119</f>
        <v>-479800</v>
      </c>
      <c r="D122" s="110">
        <f>D81+D119+D110</f>
        <v>-383350</v>
      </c>
      <c r="E122" s="110">
        <f>E81+E119+E110</f>
        <v>-397854.5</v>
      </c>
      <c r="F122" s="111">
        <f>F81+F110+F119</f>
        <v>-476537.5</v>
      </c>
      <c r="G122" s="34">
        <f t="shared" ref="G122:I122" si="3">G81+G110+G119</f>
        <v>-385276</v>
      </c>
      <c r="H122" s="48">
        <f t="shared" si="3"/>
        <v>-515664.97000000003</v>
      </c>
      <c r="I122" s="34">
        <f t="shared" si="3"/>
        <v>-443929.93999999994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s="2" customFormat="1" x14ac:dyDescent="0.25">
      <c r="A123" s="51"/>
      <c r="B123" s="17"/>
      <c r="C123" s="138"/>
      <c r="D123" s="106"/>
      <c r="E123" s="156"/>
      <c r="F123" s="132"/>
      <c r="G123" s="57"/>
      <c r="H123" s="57"/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s="2" customFormat="1" x14ac:dyDescent="0.25">
      <c r="A124" s="51" t="s">
        <v>59</v>
      </c>
      <c r="B124" s="17" t="s">
        <v>60</v>
      </c>
      <c r="C124" s="139"/>
      <c r="D124" s="104"/>
      <c r="E124" s="157">
        <v>7336.55</v>
      </c>
      <c r="F124" s="132">
        <v>708</v>
      </c>
      <c r="G124" s="57">
        <v>1757</v>
      </c>
      <c r="H124" s="57">
        <v>2627.11</v>
      </c>
      <c r="I124" s="52">
        <v>310.37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x14ac:dyDescent="0.25">
      <c r="A125" s="26"/>
      <c r="B125" s="6"/>
      <c r="C125" s="136"/>
      <c r="D125" s="104"/>
      <c r="E125" s="153"/>
      <c r="F125" s="127"/>
      <c r="G125" s="10"/>
      <c r="H125" s="10"/>
      <c r="I125" s="10"/>
    </row>
    <row r="126" spans="1:61" s="3" customFormat="1" x14ac:dyDescent="0.25">
      <c r="A126" s="113" t="str">
        <f>"Beräknat resultat"</f>
        <v>Beräknat resultat</v>
      </c>
      <c r="B126" s="114"/>
      <c r="C126" s="150">
        <f t="shared" ref="C126:I126" si="4">C55+C122+C124</f>
        <v>-67800</v>
      </c>
      <c r="D126" s="115">
        <f t="shared" si="4"/>
        <v>-4350</v>
      </c>
      <c r="E126" s="115">
        <f t="shared" si="4"/>
        <v>58962.05</v>
      </c>
      <c r="F126" s="116">
        <f t="shared" si="4"/>
        <v>-51946</v>
      </c>
      <c r="G126" s="117">
        <f t="shared" si="4"/>
        <v>89433</v>
      </c>
      <c r="H126" s="117">
        <f t="shared" si="4"/>
        <v>-38104.230000000025</v>
      </c>
      <c r="I126" s="117">
        <f t="shared" si="4"/>
        <v>94780.45000000007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ht="15.75" thickBot="1" x14ac:dyDescent="0.3">
      <c r="A127" s="37"/>
      <c r="B127" s="15"/>
      <c r="C127" s="15"/>
      <c r="D127" s="109"/>
      <c r="E127" s="109"/>
      <c r="F127" s="15"/>
      <c r="G127" s="70"/>
      <c r="H127" s="28"/>
      <c r="I127" s="15"/>
    </row>
    <row r="128" spans="1:61" x14ac:dyDescent="0.25">
      <c r="I128" s="46"/>
    </row>
  </sheetData>
  <pageMargins left="0.7" right="0.7" top="0.75" bottom="0.75" header="0.3" footer="0.3"/>
  <pageSetup paperSize="9" orientation="portrait" horizontalDpi="4294967294" verticalDpi="0" r:id="rId1"/>
  <headerFooter>
    <oddHeader>&amp;C&amp;"Calibri"&amp;10&amp;K008000 Zeppelin: Confidential GREEN&amp;1#_x000D_</oddHeader>
  </headerFooter>
  <customProperties>
    <customPr name="_pios_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</sheetPr>
  <dimension ref="A1:BH129"/>
  <sheetViews>
    <sheetView zoomScaleNormal="100" workbookViewId="0">
      <pane ySplit="1" topLeftCell="A2" activePane="bottomLeft" state="frozen"/>
      <selection pane="bottomLeft" activeCell="J27" sqref="J27"/>
    </sheetView>
  </sheetViews>
  <sheetFormatPr defaultRowHeight="15" x14ac:dyDescent="0.25"/>
  <cols>
    <col min="1" max="1" width="7.85546875" customWidth="1"/>
    <col min="2" max="2" width="30.140625" customWidth="1"/>
    <col min="3" max="3" width="19" customWidth="1"/>
    <col min="4" max="4" width="14.7109375" customWidth="1"/>
    <col min="5" max="5" width="15.7109375" customWidth="1"/>
    <col min="6" max="7" width="14.28515625" customWidth="1"/>
    <col min="8" max="8" width="13.7109375" style="4" customWidth="1"/>
    <col min="9" max="9" width="20.7109375" bestFit="1" customWidth="1"/>
    <col min="10" max="10" width="16" customWidth="1"/>
    <col min="11" max="11" width="12.7109375" customWidth="1"/>
    <col min="12" max="12" width="32.7109375" bestFit="1" customWidth="1"/>
    <col min="13" max="13" width="11.7109375" bestFit="1" customWidth="1"/>
  </cols>
  <sheetData>
    <row r="1" spans="1:8" x14ac:dyDescent="0.25">
      <c r="A1" s="9"/>
      <c r="B1" s="47" t="s">
        <v>0</v>
      </c>
      <c r="C1" s="47"/>
      <c r="D1" s="47"/>
      <c r="E1" s="184" t="s">
        <v>116</v>
      </c>
      <c r="F1" s="47"/>
      <c r="G1" s="47"/>
      <c r="H1" s="10"/>
    </row>
    <row r="2" spans="1:8" x14ac:dyDescent="0.25">
      <c r="A2" s="9"/>
      <c r="B2" s="87"/>
      <c r="C2" s="87"/>
      <c r="D2" s="87"/>
      <c r="E2" s="185">
        <v>42328</v>
      </c>
      <c r="F2" s="87"/>
      <c r="G2" s="7"/>
      <c r="H2" s="10"/>
    </row>
    <row r="3" spans="1:8" x14ac:dyDescent="0.25">
      <c r="A3" s="6"/>
      <c r="B3" s="6"/>
      <c r="C3" s="173">
        <v>2016</v>
      </c>
      <c r="D3" s="133">
        <v>2015</v>
      </c>
      <c r="E3" s="58">
        <v>2015</v>
      </c>
      <c r="F3" s="58">
        <v>2014</v>
      </c>
      <c r="G3" s="121">
        <v>2013</v>
      </c>
      <c r="H3" s="58">
        <v>2012</v>
      </c>
    </row>
    <row r="4" spans="1:8" ht="15.75" thickBot="1" x14ac:dyDescent="0.3">
      <c r="A4" s="16"/>
      <c r="B4" s="16"/>
      <c r="C4" s="174" t="s">
        <v>4</v>
      </c>
      <c r="D4" s="134" t="s">
        <v>4</v>
      </c>
      <c r="E4" s="59" t="s">
        <v>5</v>
      </c>
      <c r="F4" s="59" t="s">
        <v>5</v>
      </c>
      <c r="G4" s="122" t="s">
        <v>5</v>
      </c>
      <c r="H4" s="60" t="s">
        <v>5</v>
      </c>
    </row>
    <row r="5" spans="1:8" x14ac:dyDescent="0.25">
      <c r="A5" s="19"/>
      <c r="B5" s="20"/>
      <c r="C5" s="175"/>
      <c r="D5" s="135"/>
      <c r="E5" s="20"/>
      <c r="F5" s="20"/>
      <c r="G5" s="123"/>
      <c r="H5" s="30"/>
    </row>
    <row r="6" spans="1:8" x14ac:dyDescent="0.25">
      <c r="A6" s="22" t="str">
        <f>"Rörelsens intäkter och lagerförändring"</f>
        <v>Rörelsens intäkter och lagerförändring</v>
      </c>
      <c r="B6" s="6"/>
      <c r="C6" s="176"/>
      <c r="D6" s="136"/>
      <c r="E6" s="6"/>
      <c r="F6" s="6"/>
      <c r="G6" s="124"/>
      <c r="H6" s="10"/>
    </row>
    <row r="7" spans="1:8" x14ac:dyDescent="0.25">
      <c r="A7" s="22" t="str">
        <f>"Nettoomsättning"</f>
        <v>Nettoomsättning</v>
      </c>
      <c r="B7" s="6"/>
      <c r="C7" s="176"/>
      <c r="D7" s="136"/>
      <c r="E7" s="6"/>
      <c r="F7" s="6"/>
      <c r="G7" s="124"/>
      <c r="H7" s="10"/>
    </row>
    <row r="8" spans="1:8" x14ac:dyDescent="0.25">
      <c r="A8" s="186" t="str">
        <f>"3110"</f>
        <v>3110</v>
      </c>
      <c r="B8" s="5" t="str">
        <f>"Medlemsavgifter"</f>
        <v>Medlemsavgifter</v>
      </c>
      <c r="C8" s="177">
        <v>92000</v>
      </c>
      <c r="D8" s="140">
        <v>90000</v>
      </c>
      <c r="E8" s="165">
        <v>92225</v>
      </c>
      <c r="F8" s="153">
        <v>91000</v>
      </c>
      <c r="G8" s="125">
        <v>83650</v>
      </c>
      <c r="H8" s="10">
        <v>72350</v>
      </c>
    </row>
    <row r="9" spans="1:8" x14ac:dyDescent="0.25">
      <c r="A9" s="186" t="str">
        <f>"3120"</f>
        <v>3120</v>
      </c>
      <c r="B9" s="5" t="str">
        <f>"Intäkter kanothyra"</f>
        <v>Intäkter kanothyra</v>
      </c>
      <c r="C9" s="177">
        <v>13000</v>
      </c>
      <c r="D9" s="140">
        <v>17000</v>
      </c>
      <c r="E9" s="165">
        <v>13125</v>
      </c>
      <c r="F9" s="153">
        <v>17450</v>
      </c>
      <c r="G9" s="125">
        <v>13450</v>
      </c>
      <c r="H9" s="10">
        <v>13000</v>
      </c>
    </row>
    <row r="10" spans="1:8" x14ac:dyDescent="0.25">
      <c r="A10" s="186" t="str">
        <f>"3130"</f>
        <v>3130</v>
      </c>
      <c r="B10" s="5" t="str">
        <f>"Intäkter kanotplats"</f>
        <v>Intäkter kanotplats</v>
      </c>
      <c r="C10" s="177">
        <v>23000</v>
      </c>
      <c r="D10" s="140">
        <v>18000</v>
      </c>
      <c r="E10" s="165">
        <v>22925</v>
      </c>
      <c r="F10" s="153">
        <v>17713</v>
      </c>
      <c r="G10" s="125">
        <v>18175</v>
      </c>
      <c r="H10" s="10">
        <v>15750</v>
      </c>
    </row>
    <row r="11" spans="1:8" x14ac:dyDescent="0.25">
      <c r="A11" s="186" t="str">
        <f>"3140"</f>
        <v>3140</v>
      </c>
      <c r="B11" s="5" t="str">
        <f>"Intäkter kanotskola"</f>
        <v>Intäkter kanotskola</v>
      </c>
      <c r="C11" s="177">
        <v>26000</v>
      </c>
      <c r="D11" s="140">
        <v>30000</v>
      </c>
      <c r="E11" s="165">
        <v>25525</v>
      </c>
      <c r="F11" s="153">
        <v>35750</v>
      </c>
      <c r="G11" s="125">
        <v>24535</v>
      </c>
      <c r="H11" s="10">
        <v>24050</v>
      </c>
    </row>
    <row r="12" spans="1:8" x14ac:dyDescent="0.25">
      <c r="A12" s="186" t="str">
        <f>"3142"</f>
        <v>3142</v>
      </c>
      <c r="B12" s="5" t="str">
        <f>"Prova-på-paddling"</f>
        <v>Prova-på-paddling</v>
      </c>
      <c r="C12" s="177">
        <v>12000</v>
      </c>
      <c r="D12" s="140">
        <v>16000</v>
      </c>
      <c r="E12" s="165">
        <v>12400</v>
      </c>
      <c r="F12" s="153">
        <v>18000</v>
      </c>
      <c r="G12" s="125">
        <v>7200</v>
      </c>
      <c r="H12" s="10">
        <v>3200</v>
      </c>
    </row>
    <row r="13" spans="1:8" x14ac:dyDescent="0.25">
      <c r="A13" s="186" t="s">
        <v>6</v>
      </c>
      <c r="B13" s="5" t="s">
        <v>7</v>
      </c>
      <c r="C13" s="177">
        <v>5000</v>
      </c>
      <c r="D13" s="140">
        <v>4000</v>
      </c>
      <c r="E13" s="165">
        <v>6000</v>
      </c>
      <c r="F13" s="153">
        <v>3100</v>
      </c>
      <c r="G13" s="125">
        <v>7600</v>
      </c>
      <c r="H13" s="10"/>
    </row>
    <row r="14" spans="1:8" x14ac:dyDescent="0.25">
      <c r="A14" s="186" t="str">
        <f>"3150"</f>
        <v>3150</v>
      </c>
      <c r="B14" s="5" t="s">
        <v>8</v>
      </c>
      <c r="C14" s="177">
        <v>0</v>
      </c>
      <c r="D14" s="140">
        <v>12000</v>
      </c>
      <c r="E14" s="165"/>
      <c r="F14" s="153">
        <v>12000</v>
      </c>
      <c r="G14" s="125">
        <v>12000</v>
      </c>
      <c r="H14" s="10">
        <v>12000</v>
      </c>
    </row>
    <row r="15" spans="1:8" x14ac:dyDescent="0.25">
      <c r="A15" s="186" t="str">
        <f>"3210"</f>
        <v>3210</v>
      </c>
      <c r="B15" s="44" t="str">
        <f>"Intäkter tävling/transport"</f>
        <v>Intäkter tävling/transport</v>
      </c>
      <c r="C15" s="178"/>
      <c r="D15" s="141"/>
      <c r="E15" s="166"/>
      <c r="F15" s="153"/>
      <c r="G15" s="126"/>
      <c r="H15" s="10"/>
    </row>
    <row r="16" spans="1:8" x14ac:dyDescent="0.25">
      <c r="A16" s="186" t="str">
        <f>"3211"</f>
        <v>3211</v>
      </c>
      <c r="B16" s="5" t="str">
        <f>"Anmälningsavgifter"</f>
        <v>Anmälningsavgifter</v>
      </c>
      <c r="C16" s="177">
        <v>6000</v>
      </c>
      <c r="D16" s="140">
        <v>12000</v>
      </c>
      <c r="E16" s="165">
        <v>6400</v>
      </c>
      <c r="F16" s="153">
        <v>12000</v>
      </c>
      <c r="G16" s="125">
        <v>13120</v>
      </c>
      <c r="H16" s="10">
        <v>9500</v>
      </c>
    </row>
    <row r="17" spans="1:11" x14ac:dyDescent="0.25">
      <c r="A17" s="186" t="str">
        <f>"3212"</f>
        <v>3212</v>
      </c>
      <c r="B17" s="5" t="str">
        <f>"Transportavgift"</f>
        <v>Transportavgift</v>
      </c>
      <c r="C17" s="177">
        <v>1000</v>
      </c>
      <c r="D17" s="140">
        <v>1000</v>
      </c>
      <c r="E17" s="165">
        <v>400</v>
      </c>
      <c r="F17" s="153">
        <v>100</v>
      </c>
      <c r="G17" s="125">
        <v>1800</v>
      </c>
      <c r="H17" s="10">
        <v>600</v>
      </c>
    </row>
    <row r="18" spans="1:11" x14ac:dyDescent="0.25">
      <c r="A18" s="186" t="str">
        <f>"3213"</f>
        <v>3213</v>
      </c>
      <c r="B18" s="5" t="str">
        <f>"Kost och logi under tävlingar"</f>
        <v>Kost och logi under tävlingar</v>
      </c>
      <c r="C18" s="177"/>
      <c r="D18" s="140"/>
      <c r="E18" s="165">
        <v>5390</v>
      </c>
      <c r="F18" s="153">
        <v>12555</v>
      </c>
      <c r="G18" s="125">
        <v>2400</v>
      </c>
      <c r="H18" s="10">
        <v>11950</v>
      </c>
    </row>
    <row r="19" spans="1:11" x14ac:dyDescent="0.25">
      <c r="A19" s="186">
        <v>3214</v>
      </c>
      <c r="B19" s="6" t="s">
        <v>9</v>
      </c>
      <c r="C19" s="177"/>
      <c r="D19" s="140"/>
      <c r="E19" s="165"/>
      <c r="F19" s="153"/>
      <c r="G19" s="125"/>
      <c r="H19" s="10"/>
    </row>
    <row r="20" spans="1:11" x14ac:dyDescent="0.25">
      <c r="A20" s="186" t="str">
        <f>"3220"</f>
        <v>3220</v>
      </c>
      <c r="B20" s="44" t="str">
        <f>"Intäkter läger"</f>
        <v>Intäkter läger</v>
      </c>
      <c r="C20" s="178"/>
      <c r="D20" s="141"/>
      <c r="E20" s="166"/>
      <c r="F20" s="153"/>
      <c r="G20" s="126"/>
      <c r="H20" s="10"/>
    </row>
    <row r="21" spans="1:11" x14ac:dyDescent="0.25">
      <c r="A21" s="186" t="str">
        <f>"3221"</f>
        <v>3221</v>
      </c>
      <c r="B21" s="5" t="s">
        <v>10</v>
      </c>
      <c r="C21" s="177">
        <v>8000</v>
      </c>
      <c r="D21" s="140">
        <v>10000</v>
      </c>
      <c r="E21" s="165">
        <v>7750</v>
      </c>
      <c r="F21" s="153">
        <v>5450</v>
      </c>
      <c r="G21" s="125">
        <v>1650</v>
      </c>
      <c r="H21" s="10">
        <v>5800</v>
      </c>
    </row>
    <row r="22" spans="1:11" x14ac:dyDescent="0.25">
      <c r="A22" s="186" t="s">
        <v>11</v>
      </c>
      <c r="B22" s="5" t="s">
        <v>12</v>
      </c>
      <c r="C22" s="177"/>
      <c r="D22" s="140"/>
      <c r="E22" s="165"/>
      <c r="F22" s="153"/>
      <c r="G22" s="125"/>
      <c r="H22" s="10"/>
    </row>
    <row r="23" spans="1:11" x14ac:dyDescent="0.25">
      <c r="A23" s="186" t="str">
        <f>"3223"</f>
        <v>3223</v>
      </c>
      <c r="B23" s="5" t="str">
        <f>"Intäkter SM läger"</f>
        <v>Intäkter SM läger</v>
      </c>
      <c r="C23" s="177">
        <v>18000</v>
      </c>
      <c r="D23" s="140">
        <v>27000</v>
      </c>
      <c r="E23" s="165">
        <v>18000</v>
      </c>
      <c r="F23" s="153">
        <v>7500</v>
      </c>
      <c r="G23" s="125">
        <v>8400</v>
      </c>
      <c r="H23" s="10">
        <v>11200</v>
      </c>
    </row>
    <row r="24" spans="1:11" x14ac:dyDescent="0.25">
      <c r="A24" s="186" t="s">
        <v>13</v>
      </c>
      <c r="B24" s="5" t="s">
        <v>14</v>
      </c>
      <c r="C24" s="177">
        <v>10000</v>
      </c>
      <c r="D24" s="140">
        <v>12000</v>
      </c>
      <c r="E24" s="165"/>
      <c r="F24" s="153">
        <v>11030</v>
      </c>
      <c r="G24" s="125">
        <v>13415.5</v>
      </c>
      <c r="H24" s="10">
        <v>6734</v>
      </c>
    </row>
    <row r="25" spans="1:11" x14ac:dyDescent="0.25">
      <c r="A25" s="186" t="str">
        <f>"3310"</f>
        <v>3310</v>
      </c>
      <c r="B25" s="5" t="str">
        <f>"Bingolotto"</f>
        <v>Bingolotto</v>
      </c>
      <c r="C25" s="177">
        <v>1000</v>
      </c>
      <c r="D25" s="140">
        <v>4000</v>
      </c>
      <c r="E25" s="165">
        <v>1092</v>
      </c>
      <c r="F25" s="153">
        <v>3943</v>
      </c>
      <c r="G25" s="125">
        <v>2388</v>
      </c>
      <c r="H25" s="10">
        <v>1404</v>
      </c>
    </row>
    <row r="26" spans="1:11" x14ac:dyDescent="0.25">
      <c r="A26" s="186" t="str">
        <f>"3320"</f>
        <v>3320</v>
      </c>
      <c r="B26" s="5" t="str">
        <f>"Övrig lotteriverksamhet"</f>
        <v>Övrig lotteriverksamhet</v>
      </c>
      <c r="C26" s="177"/>
      <c r="D26" s="140"/>
      <c r="E26" s="165">
        <v>1774</v>
      </c>
      <c r="F26" s="153"/>
      <c r="G26" s="125"/>
      <c r="H26" s="10">
        <v>1430</v>
      </c>
    </row>
    <row r="27" spans="1:11" x14ac:dyDescent="0.25">
      <c r="A27" s="186" t="s">
        <v>15</v>
      </c>
      <c r="B27" s="5" t="s">
        <v>16</v>
      </c>
      <c r="C27" s="177"/>
      <c r="D27" s="140"/>
      <c r="E27" s="165"/>
      <c r="F27" s="153"/>
      <c r="G27" s="125"/>
      <c r="H27" s="10"/>
    </row>
    <row r="28" spans="1:11" x14ac:dyDescent="0.25">
      <c r="A28" s="186" t="str">
        <f>"3420"</f>
        <v>3420</v>
      </c>
      <c r="B28" s="5" t="str">
        <f>"Intäkter Sponsorer"</f>
        <v>Intäkter Sponsorer</v>
      </c>
      <c r="C28" s="177">
        <v>40000</v>
      </c>
      <c r="D28" s="140">
        <v>49000</v>
      </c>
      <c r="E28" s="165">
        <v>54000</v>
      </c>
      <c r="F28" s="153">
        <v>62570</v>
      </c>
      <c r="G28" s="125">
        <v>41400</v>
      </c>
      <c r="H28" s="10">
        <v>87700</v>
      </c>
      <c r="J28" s="4"/>
      <c r="K28" s="4"/>
    </row>
    <row r="29" spans="1:11" x14ac:dyDescent="0.25">
      <c r="A29" s="186" t="str">
        <f>"3421"</f>
        <v>3421</v>
      </c>
      <c r="B29" s="5" t="s">
        <v>17</v>
      </c>
      <c r="C29" s="177">
        <v>30000</v>
      </c>
      <c r="D29" s="140">
        <v>20000</v>
      </c>
      <c r="E29" s="165">
        <v>28000</v>
      </c>
      <c r="F29" s="153">
        <v>73000</v>
      </c>
      <c r="G29" s="125">
        <v>28000</v>
      </c>
      <c r="H29" s="10">
        <v>20000</v>
      </c>
    </row>
    <row r="30" spans="1:11" x14ac:dyDescent="0.25">
      <c r="A30" s="186" t="s">
        <v>18</v>
      </c>
      <c r="B30" s="5" t="s">
        <v>19</v>
      </c>
      <c r="C30" s="177"/>
      <c r="D30" s="140"/>
      <c r="E30" s="165">
        <v>28775.33</v>
      </c>
      <c r="F30" s="153">
        <v>26179</v>
      </c>
      <c r="G30" s="125">
        <v>50350</v>
      </c>
      <c r="H30" s="10">
        <v>35000</v>
      </c>
    </row>
    <row r="31" spans="1:11" x14ac:dyDescent="0.25">
      <c r="A31" s="186" t="str">
        <f>"3430"</f>
        <v>3430</v>
      </c>
      <c r="B31" s="5" t="str">
        <f>"Intäkter föräldrarföreningen"</f>
        <v>Intäkter föräldrarföreningen</v>
      </c>
      <c r="C31" s="177"/>
      <c r="D31" s="140"/>
      <c r="E31" s="165"/>
      <c r="F31" s="153"/>
      <c r="G31" s="127"/>
      <c r="H31" s="10">
        <v>15000</v>
      </c>
    </row>
    <row r="32" spans="1:11" x14ac:dyDescent="0.25">
      <c r="A32" s="186" t="str">
        <f>"3520"</f>
        <v>3520</v>
      </c>
      <c r="B32" s="5" t="str">
        <f>"Intäkter Kanotförsäkring"</f>
        <v>Intäkter Kanotförsäkring</v>
      </c>
      <c r="C32" s="177">
        <v>3500</v>
      </c>
      <c r="D32" s="140">
        <v>3000</v>
      </c>
      <c r="E32" s="165">
        <v>3458</v>
      </c>
      <c r="F32" s="153">
        <v>3458</v>
      </c>
      <c r="G32" s="127">
        <v>3830</v>
      </c>
      <c r="H32" s="10">
        <v>5976</v>
      </c>
    </row>
    <row r="33" spans="1:12" x14ac:dyDescent="0.25">
      <c r="A33" s="186" t="s">
        <v>20</v>
      </c>
      <c r="B33" s="5" t="s">
        <v>21</v>
      </c>
      <c r="C33" s="177"/>
      <c r="D33" s="140"/>
      <c r="E33" s="165"/>
      <c r="F33" s="153">
        <v>61624</v>
      </c>
      <c r="G33" s="127"/>
      <c r="H33" s="10"/>
    </row>
    <row r="34" spans="1:12" x14ac:dyDescent="0.25">
      <c r="A34" s="186" t="str">
        <f>"3710"</f>
        <v>3710</v>
      </c>
      <c r="B34" s="5" t="str">
        <f>"Kommunala bidrag"</f>
        <v>Kommunala bidrag</v>
      </c>
      <c r="C34" s="177">
        <v>54000</v>
      </c>
      <c r="D34" s="140">
        <v>53000</v>
      </c>
      <c r="E34" s="165">
        <v>54852</v>
      </c>
      <c r="F34" s="153">
        <v>52860</v>
      </c>
      <c r="G34" s="127">
        <v>51090</v>
      </c>
      <c r="H34" s="10">
        <v>62752</v>
      </c>
    </row>
    <row r="35" spans="1:12" x14ac:dyDescent="0.25">
      <c r="A35" s="186" t="str">
        <f>"3730"</f>
        <v>3730</v>
      </c>
      <c r="B35" s="5" t="str">
        <f>"LOK-stöd Riksidrottsförbundet"</f>
        <v>LOK-stöd Riksidrottsförbundet</v>
      </c>
      <c r="C35" s="177">
        <v>36000</v>
      </c>
      <c r="D35" s="140">
        <v>34000</v>
      </c>
      <c r="E35" s="165">
        <v>36836</v>
      </c>
      <c r="F35" s="153">
        <v>33824</v>
      </c>
      <c r="G35" s="127">
        <v>39430</v>
      </c>
      <c r="H35" s="10">
        <v>37396</v>
      </c>
    </row>
    <row r="36" spans="1:12" x14ac:dyDescent="0.25">
      <c r="A36" s="186" t="s">
        <v>22</v>
      </c>
      <c r="B36" s="5" t="s">
        <v>23</v>
      </c>
      <c r="C36" s="177"/>
      <c r="D36" s="140"/>
      <c r="E36" s="165"/>
      <c r="F36" s="153"/>
      <c r="G36" s="127"/>
      <c r="H36" s="10"/>
    </row>
    <row r="37" spans="1:12" x14ac:dyDescent="0.25">
      <c r="A37" s="186" t="str">
        <f>"3790"</f>
        <v>3790</v>
      </c>
      <c r="B37" s="5" t="s">
        <v>24</v>
      </c>
      <c r="C37" s="177"/>
      <c r="D37" s="140"/>
      <c r="E37" s="165"/>
      <c r="F37" s="153"/>
      <c r="G37" s="127"/>
      <c r="H37" s="10">
        <v>6500</v>
      </c>
      <c r="L37" s="4"/>
    </row>
    <row r="38" spans="1:12" x14ac:dyDescent="0.25">
      <c r="A38" s="26"/>
      <c r="B38" s="6"/>
      <c r="C38" s="177"/>
      <c r="D38" s="140"/>
      <c r="E38" s="165"/>
      <c r="F38" s="153"/>
      <c r="G38" s="127"/>
      <c r="H38" s="10"/>
    </row>
    <row r="39" spans="1:12" s="1" customFormat="1" ht="15.75" thickBot="1" x14ac:dyDescent="0.3">
      <c r="A39" s="27" t="str">
        <f>"S:a Nettoomsättning"</f>
        <v>S:a Nettoomsättning</v>
      </c>
      <c r="B39" s="14"/>
      <c r="C39" s="179">
        <f>SUM(C8:C38)</f>
        <v>378500</v>
      </c>
      <c r="D39" s="142">
        <f>SUM(D8:D38)</f>
        <v>412000</v>
      </c>
      <c r="E39" s="167">
        <f>SUM(E8:E37)</f>
        <v>418927.33</v>
      </c>
      <c r="F39" s="154">
        <f>SUM(F8:F37)</f>
        <v>561106</v>
      </c>
      <c r="G39" s="119">
        <f>SUM(G8:G37)</f>
        <v>423883.5</v>
      </c>
      <c r="H39" s="28">
        <f>SUM(H8:H38)</f>
        <v>459292</v>
      </c>
      <c r="L39" s="120"/>
    </row>
    <row r="40" spans="1:12" x14ac:dyDescent="0.25">
      <c r="A40" s="19"/>
      <c r="B40" s="20"/>
      <c r="C40" s="180"/>
      <c r="D40" s="137"/>
      <c r="E40" s="168"/>
      <c r="F40" s="155"/>
      <c r="G40" s="128"/>
      <c r="H40" s="30"/>
    </row>
    <row r="41" spans="1:12" x14ac:dyDescent="0.25">
      <c r="A41" s="22" t="str">
        <f>"Aktiverat arbete för egen räkning"</f>
        <v>Aktiverat arbete för egen räkning</v>
      </c>
      <c r="B41" s="6"/>
      <c r="C41" s="177"/>
      <c r="D41" s="136"/>
      <c r="E41" s="6"/>
      <c r="F41" s="153"/>
      <c r="G41" s="129"/>
      <c r="H41" s="10"/>
    </row>
    <row r="42" spans="1:12" x14ac:dyDescent="0.25">
      <c r="A42" s="186" t="s">
        <v>25</v>
      </c>
      <c r="B42" s="6" t="s">
        <v>26</v>
      </c>
      <c r="C42" s="177"/>
      <c r="D42" s="143"/>
      <c r="E42" s="153"/>
      <c r="F42" s="153"/>
      <c r="G42" s="127">
        <v>0</v>
      </c>
      <c r="H42" s="10"/>
    </row>
    <row r="43" spans="1:12" x14ac:dyDescent="0.25">
      <c r="A43" s="186" t="str">
        <f>"3813"</f>
        <v>3813</v>
      </c>
      <c r="B43" s="5" t="s">
        <v>27</v>
      </c>
      <c r="C43" s="177">
        <v>0</v>
      </c>
      <c r="D43" s="143"/>
      <c r="E43" s="153">
        <v>1000</v>
      </c>
      <c r="F43" s="153">
        <v>3350</v>
      </c>
      <c r="G43" s="127">
        <v>0</v>
      </c>
      <c r="H43" s="10">
        <v>2000</v>
      </c>
    </row>
    <row r="44" spans="1:12" x14ac:dyDescent="0.25">
      <c r="A44" s="187"/>
      <c r="B44" s="6"/>
      <c r="C44" s="177"/>
      <c r="D44" s="136"/>
      <c r="E44" s="6"/>
      <c r="F44" s="153"/>
      <c r="G44" s="129"/>
      <c r="H44" s="10"/>
    </row>
    <row r="45" spans="1:12" s="1" customFormat="1" ht="15.75" thickBot="1" x14ac:dyDescent="0.3">
      <c r="A45" s="27" t="str">
        <f>"S:a Aktiverat arbete för egen räkning"</f>
        <v>S:a Aktiverat arbete för egen räkning</v>
      </c>
      <c r="B45" s="14"/>
      <c r="C45" s="179">
        <f>SUM(C42:C44)</f>
        <v>0</v>
      </c>
      <c r="D45" s="144">
        <f>SUM(D42:D44)</f>
        <v>0</v>
      </c>
      <c r="E45" s="109">
        <f>SUM(E42:E43)</f>
        <v>1000</v>
      </c>
      <c r="F45" s="109">
        <f>SUM(F42:F43)</f>
        <v>3350</v>
      </c>
      <c r="G45" s="119">
        <f>SUM(G42:G44)</f>
        <v>0</v>
      </c>
      <c r="H45" s="28">
        <f>SUM(H42:H44)</f>
        <v>2000</v>
      </c>
    </row>
    <row r="46" spans="1:12" x14ac:dyDescent="0.25">
      <c r="A46" s="19"/>
      <c r="B46" s="20"/>
      <c r="C46" s="180"/>
      <c r="D46" s="137"/>
      <c r="E46" s="168"/>
      <c r="F46" s="155"/>
      <c r="G46" s="128"/>
      <c r="H46" s="30"/>
    </row>
    <row r="47" spans="1:12" x14ac:dyDescent="0.25">
      <c r="A47" s="22" t="str">
        <f>"Övriga rörelseintäkter"</f>
        <v>Övriga rörelseintäkter</v>
      </c>
      <c r="B47" s="6"/>
      <c r="C47" s="177"/>
      <c r="D47" s="136"/>
      <c r="E47" s="6"/>
      <c r="F47" s="153"/>
      <c r="G47" s="129"/>
      <c r="H47" s="10"/>
    </row>
    <row r="48" spans="1:12" x14ac:dyDescent="0.25">
      <c r="A48" s="186" t="str">
        <f>"3990"</f>
        <v>3990</v>
      </c>
      <c r="B48" s="5" t="str">
        <f>"Övr ersättn och intäkter"</f>
        <v>Övr ersättn och intäkter</v>
      </c>
      <c r="C48" s="177"/>
      <c r="D48" s="145"/>
      <c r="E48" s="169">
        <v>3900</v>
      </c>
      <c r="F48" s="153"/>
      <c r="G48" s="127"/>
      <c r="H48" s="10">
        <v>5500</v>
      </c>
    </row>
    <row r="49" spans="1:60" x14ac:dyDescent="0.25">
      <c r="A49" s="186" t="str">
        <f>"3991"</f>
        <v>3991</v>
      </c>
      <c r="B49" s="5" t="str">
        <f>"Team Porto"</f>
        <v>Team Porto</v>
      </c>
      <c r="C49" s="177"/>
      <c r="D49" s="145"/>
      <c r="E49" s="169"/>
      <c r="F49" s="153"/>
      <c r="G49" s="127"/>
      <c r="H49" s="10">
        <v>0</v>
      </c>
    </row>
    <row r="50" spans="1:60" x14ac:dyDescent="0.25">
      <c r="A50" s="186" t="str">
        <f>"3992"</f>
        <v>3992</v>
      </c>
      <c r="B50" s="5" t="s">
        <v>28</v>
      </c>
      <c r="C50" s="177"/>
      <c r="D50" s="145"/>
      <c r="E50" s="169"/>
      <c r="F50" s="153"/>
      <c r="G50" s="127"/>
      <c r="H50" s="10">
        <v>6160</v>
      </c>
    </row>
    <row r="51" spans="1:60" x14ac:dyDescent="0.25">
      <c r="A51" s="187">
        <v>3680</v>
      </c>
      <c r="B51" s="6" t="s">
        <v>29</v>
      </c>
      <c r="C51" s="177"/>
      <c r="D51" s="145"/>
      <c r="E51" s="169"/>
      <c r="F51" s="153"/>
      <c r="G51" s="129"/>
      <c r="H51" s="10"/>
    </row>
    <row r="52" spans="1:60" s="1" customFormat="1" ht="15.75" thickBot="1" x14ac:dyDescent="0.3">
      <c r="A52" s="27" t="str">
        <f>"S:a Övriga rörelseintäkter"</f>
        <v>S:a Övriga rörelseintäkter</v>
      </c>
      <c r="B52" s="14"/>
      <c r="C52" s="179">
        <f>SUM(C48:C51)</f>
        <v>0</v>
      </c>
      <c r="D52" s="146">
        <f>SUM(D48:D51)</f>
        <v>0</v>
      </c>
      <c r="E52" s="170">
        <f>SUM(E48:E51)</f>
        <v>3900</v>
      </c>
      <c r="F52" s="109">
        <f>SUM(F48:F51)</f>
        <v>0</v>
      </c>
      <c r="G52" s="119">
        <f t="shared" ref="G52:H52" si="0">SUM(G48:G51)</f>
        <v>0</v>
      </c>
      <c r="H52" s="28">
        <f t="shared" si="0"/>
        <v>11660</v>
      </c>
    </row>
    <row r="53" spans="1:60" x14ac:dyDescent="0.25">
      <c r="A53" s="19"/>
      <c r="B53" s="20"/>
      <c r="C53" s="180"/>
      <c r="D53" s="137"/>
      <c r="E53" s="168"/>
      <c r="F53" s="155"/>
      <c r="G53" s="128"/>
      <c r="H53" s="30"/>
    </row>
    <row r="54" spans="1:60" x14ac:dyDescent="0.25">
      <c r="A54" s="26"/>
      <c r="B54" s="6"/>
      <c r="C54" s="177"/>
      <c r="D54" s="136"/>
      <c r="E54" s="6"/>
      <c r="F54" s="153"/>
      <c r="G54" s="129"/>
      <c r="H54" s="10"/>
    </row>
    <row r="55" spans="1:60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63">
        <f>C39+C45+C52</f>
        <v>378500</v>
      </c>
      <c r="D55" s="147">
        <f>D39+D45+D52</f>
        <v>412000</v>
      </c>
      <c r="E55" s="147">
        <f>E39+E45+E52</f>
        <v>423827.33</v>
      </c>
      <c r="F55" s="112">
        <f>F39+F45+F52</f>
        <v>564456</v>
      </c>
      <c r="G55" s="111">
        <f t="shared" ref="G55:H55" si="1">G39+G45+G52</f>
        <v>423883.5</v>
      </c>
      <c r="H55" s="34">
        <f t="shared" si="1"/>
        <v>472952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x14ac:dyDescent="0.25">
      <c r="A56" s="19"/>
      <c r="B56" s="20"/>
      <c r="C56" s="180"/>
      <c r="D56" s="137"/>
      <c r="E56" s="168"/>
      <c r="F56" s="155"/>
      <c r="G56" s="128"/>
      <c r="H56" s="30"/>
    </row>
    <row r="57" spans="1:60" x14ac:dyDescent="0.25">
      <c r="A57" s="22" t="str">
        <f>"Rörelsens kostnader"</f>
        <v>Rörelsens kostnader</v>
      </c>
      <c r="B57" s="6"/>
      <c r="C57" s="177"/>
      <c r="D57" s="136"/>
      <c r="E57" s="6"/>
      <c r="F57" s="153"/>
      <c r="G57" s="129"/>
      <c r="H57" s="10"/>
    </row>
    <row r="58" spans="1:60" x14ac:dyDescent="0.25">
      <c r="A58" s="22" t="str">
        <f>"Råvaror och förnödenheter mm"</f>
        <v>Råvaror och förnödenheter mm</v>
      </c>
      <c r="B58" s="6"/>
      <c r="C58" s="177"/>
      <c r="D58" s="136"/>
      <c r="E58" s="6"/>
      <c r="F58" s="153"/>
      <c r="G58" s="129"/>
      <c r="H58" s="10"/>
    </row>
    <row r="59" spans="1:60" x14ac:dyDescent="0.25">
      <c r="A59" s="24"/>
      <c r="B59" s="5"/>
      <c r="C59" s="177"/>
      <c r="D59" s="148"/>
      <c r="E59" s="171"/>
      <c r="F59" s="153"/>
      <c r="G59" s="127"/>
      <c r="H59" s="56"/>
    </row>
    <row r="60" spans="1:60" x14ac:dyDescent="0.25">
      <c r="A60" s="24" t="str">
        <f>"4011"</f>
        <v>4011</v>
      </c>
      <c r="B60" s="5" t="str">
        <f>"Anmälningsavgifter"</f>
        <v>Anmälningsavgifter</v>
      </c>
      <c r="C60" s="177">
        <v>-25000</v>
      </c>
      <c r="D60" s="148">
        <v>-38000</v>
      </c>
      <c r="E60" s="171">
        <v>-22460</v>
      </c>
      <c r="F60" s="153">
        <v>-38723</v>
      </c>
      <c r="G60" s="127">
        <v>-44933</v>
      </c>
      <c r="H60" s="10">
        <v>-34575</v>
      </c>
    </row>
    <row r="61" spans="1:60" x14ac:dyDescent="0.25">
      <c r="A61" s="24" t="str">
        <f>"4012"</f>
        <v>4012</v>
      </c>
      <c r="B61" s="5" t="str">
        <f>"transportkostnader"</f>
        <v>transportkostnader</v>
      </c>
      <c r="C61" s="177">
        <v>-4000</v>
      </c>
      <c r="D61" s="148">
        <v>-5000</v>
      </c>
      <c r="E61" s="171">
        <v>-3587.5</v>
      </c>
      <c r="F61" s="153">
        <v>-3897.5</v>
      </c>
      <c r="G61" s="127">
        <v>-10378</v>
      </c>
      <c r="H61" s="10">
        <v>-2091</v>
      </c>
    </row>
    <row r="62" spans="1:60" x14ac:dyDescent="0.25">
      <c r="A62" s="24" t="str">
        <f>"4013"</f>
        <v>4013</v>
      </c>
      <c r="B62" s="5" t="str">
        <f>"Kost och logi under tävlingar"</f>
        <v>Kost och logi under tävlingar</v>
      </c>
      <c r="C62" s="177"/>
      <c r="D62" s="148"/>
      <c r="E62" s="171">
        <v>-5360</v>
      </c>
      <c r="F62" s="153">
        <v>-12490</v>
      </c>
      <c r="G62" s="127">
        <v>-3540</v>
      </c>
      <c r="H62" s="10">
        <v>-13460</v>
      </c>
    </row>
    <row r="63" spans="1:60" x14ac:dyDescent="0.25">
      <c r="A63" s="24" t="str">
        <f>"4014"</f>
        <v>4014</v>
      </c>
      <c r="B63" s="5" t="str">
        <f>"Övriga tävlingskostnader"</f>
        <v>Övriga tävlingskostnader</v>
      </c>
      <c r="C63" s="177"/>
      <c r="D63" s="148"/>
      <c r="E63" s="171"/>
      <c r="F63" s="153"/>
      <c r="G63" s="127"/>
      <c r="H63" s="10">
        <v>-2255</v>
      </c>
    </row>
    <row r="64" spans="1:60" x14ac:dyDescent="0.25">
      <c r="A64" s="24" t="str">
        <f>"4020"</f>
        <v>4020</v>
      </c>
      <c r="B64" s="5" t="str">
        <f>"Lägerkostnader"</f>
        <v>Lägerkostnader</v>
      </c>
      <c r="C64" s="177">
        <v>-8000</v>
      </c>
      <c r="D64" s="148">
        <v>-6000</v>
      </c>
      <c r="E64" s="171">
        <v>-1818</v>
      </c>
      <c r="F64" s="153">
        <v>-1526</v>
      </c>
      <c r="G64" s="127">
        <v>-4627</v>
      </c>
      <c r="H64" s="56">
        <v>-8872</v>
      </c>
    </row>
    <row r="65" spans="1:13" x14ac:dyDescent="0.25">
      <c r="A65" s="24" t="str">
        <f>"4021"</f>
        <v>4021</v>
      </c>
      <c r="B65" s="5" t="str">
        <f>"Anmälningsavgifter, Läger"</f>
        <v>Anmälningsavgifter, Läger</v>
      </c>
      <c r="C65" s="177"/>
      <c r="D65" s="148"/>
      <c r="E65" s="171"/>
      <c r="F65" s="153"/>
      <c r="G65" s="127"/>
      <c r="H65" s="10"/>
    </row>
    <row r="66" spans="1:13" x14ac:dyDescent="0.25">
      <c r="A66" s="24" t="str">
        <f>"4022"</f>
        <v>4022</v>
      </c>
      <c r="B66" s="5" t="str">
        <f>"Transportkostnader, Läger"</f>
        <v>Transportkostnader, Läger</v>
      </c>
      <c r="C66" s="177"/>
      <c r="D66" s="148"/>
      <c r="E66" s="171"/>
      <c r="F66" s="153"/>
      <c r="G66" s="127"/>
      <c r="H66" s="10"/>
    </row>
    <row r="67" spans="1:13" x14ac:dyDescent="0.25">
      <c r="A67" s="24" t="s">
        <v>30</v>
      </c>
      <c r="B67" s="5" t="s">
        <v>31</v>
      </c>
      <c r="C67" s="177"/>
      <c r="D67" s="148"/>
      <c r="E67" s="171">
        <v>-1700</v>
      </c>
      <c r="F67" s="153"/>
      <c r="G67" s="127"/>
      <c r="H67" s="10"/>
    </row>
    <row r="68" spans="1:13" x14ac:dyDescent="0.25">
      <c r="A68" s="24" t="str">
        <f>"4024"</f>
        <v>4024</v>
      </c>
      <c r="B68" s="5" t="str">
        <f>"SM läger"</f>
        <v>SM läger</v>
      </c>
      <c r="C68" s="177">
        <v>-40000</v>
      </c>
      <c r="D68" s="148">
        <v>-59000</v>
      </c>
      <c r="E68" s="171">
        <v>-33695</v>
      </c>
      <c r="F68" s="153">
        <v>-16960</v>
      </c>
      <c r="G68" s="127">
        <v>-22174</v>
      </c>
      <c r="H68" s="10">
        <v>-28215</v>
      </c>
    </row>
    <row r="69" spans="1:13" x14ac:dyDescent="0.25">
      <c r="A69" s="24" t="s">
        <v>32</v>
      </c>
      <c r="B69" s="5" t="s">
        <v>33</v>
      </c>
      <c r="C69" s="177">
        <v>-40000</v>
      </c>
      <c r="D69" s="148">
        <v>-68000</v>
      </c>
      <c r="E69" s="171">
        <v>-35125</v>
      </c>
      <c r="F69" s="153">
        <v>-68237</v>
      </c>
      <c r="G69" s="127">
        <v>-44493</v>
      </c>
      <c r="H69" s="10">
        <v>-56047</v>
      </c>
    </row>
    <row r="70" spans="1:13" x14ac:dyDescent="0.25">
      <c r="A70" s="24" t="str">
        <f>"4110"</f>
        <v>4110</v>
      </c>
      <c r="B70" s="5" t="str">
        <f>"Kostnader Kanotskolan"</f>
        <v>Kostnader Kanotskolan</v>
      </c>
      <c r="C70" s="177">
        <v>-20000</v>
      </c>
      <c r="D70" s="148">
        <v>-15000</v>
      </c>
      <c r="E70" s="171">
        <v>-14874</v>
      </c>
      <c r="F70" s="153">
        <v>-18212</v>
      </c>
      <c r="G70" s="127">
        <v>-8052</v>
      </c>
      <c r="H70" s="10">
        <v>-10761</v>
      </c>
    </row>
    <row r="71" spans="1:13" x14ac:dyDescent="0.25">
      <c r="A71" s="24" t="s">
        <v>34</v>
      </c>
      <c r="B71" s="5" t="s">
        <v>35</v>
      </c>
      <c r="C71" s="177">
        <v>-5000</v>
      </c>
      <c r="D71" s="148">
        <v>-9000</v>
      </c>
      <c r="E71" s="171">
        <v>-4100</v>
      </c>
      <c r="F71" s="153">
        <v>-10300</v>
      </c>
      <c r="G71" s="127">
        <v>-3600</v>
      </c>
      <c r="H71" s="10"/>
    </row>
    <row r="72" spans="1:13" x14ac:dyDescent="0.25">
      <c r="A72" s="24" t="str">
        <f>"4120"</f>
        <v>4120</v>
      </c>
      <c r="B72" s="5" t="str">
        <f>"Kostnad ungdomsverksamhet"</f>
        <v>Kostnad ungdomsverksamhet</v>
      </c>
      <c r="C72" s="177">
        <v>-15000</v>
      </c>
      <c r="D72" s="148">
        <v>-10000</v>
      </c>
      <c r="E72" s="171">
        <v>-14442</v>
      </c>
      <c r="F72" s="153">
        <v>-10865</v>
      </c>
      <c r="G72" s="127">
        <v>-6599</v>
      </c>
      <c r="H72" s="10">
        <v>-11010</v>
      </c>
    </row>
    <row r="73" spans="1:13" x14ac:dyDescent="0.25">
      <c r="A73" s="24" t="s">
        <v>36</v>
      </c>
      <c r="B73" s="5" t="s">
        <v>37</v>
      </c>
      <c r="C73" s="177">
        <v>-20000</v>
      </c>
      <c r="D73" s="148"/>
      <c r="E73" s="171"/>
      <c r="F73" s="153"/>
      <c r="G73" s="127"/>
      <c r="H73" s="10"/>
    </row>
    <row r="74" spans="1:13" x14ac:dyDescent="0.25">
      <c r="A74" s="24" t="str">
        <f>"4220"</f>
        <v>4220</v>
      </c>
      <c r="B74" s="5" t="s">
        <v>38</v>
      </c>
      <c r="C74" s="177">
        <v>-82000</v>
      </c>
      <c r="D74" s="148">
        <v>-90000</v>
      </c>
      <c r="E74" s="171">
        <v>-117887.33</v>
      </c>
      <c r="F74" s="153">
        <v>-72611.98</v>
      </c>
      <c r="G74" s="127">
        <v>-83127</v>
      </c>
      <c r="H74" s="10">
        <v>-33278</v>
      </c>
      <c r="I74" s="161"/>
      <c r="J74" s="162"/>
      <c r="K74" s="162"/>
      <c r="L74" s="162"/>
      <c r="M74" s="4"/>
    </row>
    <row r="75" spans="1:13" x14ac:dyDescent="0.25">
      <c r="A75" s="24" t="s">
        <v>39</v>
      </c>
      <c r="B75" s="5" t="s">
        <v>40</v>
      </c>
      <c r="C75" s="177"/>
      <c r="D75" s="148"/>
      <c r="E75" s="171">
        <v>-2000</v>
      </c>
      <c r="F75" s="153">
        <v>-16508</v>
      </c>
      <c r="G75" s="127">
        <v>-21032</v>
      </c>
      <c r="H75" s="10">
        <v>-3618</v>
      </c>
    </row>
    <row r="76" spans="1:13" x14ac:dyDescent="0.25">
      <c r="A76" s="24" t="s">
        <v>41</v>
      </c>
      <c r="B76" s="5" t="s">
        <v>42</v>
      </c>
      <c r="C76" s="177"/>
      <c r="D76" s="148"/>
      <c r="E76" s="171"/>
      <c r="F76" s="153">
        <v>-11300</v>
      </c>
      <c r="G76" s="127"/>
      <c r="H76" s="10"/>
    </row>
    <row r="77" spans="1:13" x14ac:dyDescent="0.25">
      <c r="A77" s="24" t="str">
        <f>"4610"</f>
        <v>4610</v>
      </c>
      <c r="B77" s="5" t="str">
        <f>"Mötesverksamhet"</f>
        <v>Mötesverksamhet</v>
      </c>
      <c r="C77" s="177">
        <v>-8000</v>
      </c>
      <c r="D77" s="148">
        <v>-1000</v>
      </c>
      <c r="E77" s="171">
        <v>-8029</v>
      </c>
      <c r="F77" s="153">
        <v>-663</v>
      </c>
      <c r="G77" s="127">
        <v>-223</v>
      </c>
      <c r="H77" s="99">
        <v>-1906</v>
      </c>
    </row>
    <row r="78" spans="1:13" x14ac:dyDescent="0.25">
      <c r="A78" s="24" t="s">
        <v>43</v>
      </c>
      <c r="B78" s="5" t="s">
        <v>44</v>
      </c>
      <c r="C78" s="177"/>
      <c r="D78" s="148"/>
      <c r="E78" s="171"/>
      <c r="F78" s="153"/>
      <c r="G78" s="127"/>
      <c r="H78" s="10">
        <v>-10840</v>
      </c>
    </row>
    <row r="79" spans="1:13" x14ac:dyDescent="0.25">
      <c r="A79" s="24" t="str">
        <f>"4710"</f>
        <v>4710</v>
      </c>
      <c r="B79" s="5" t="str">
        <f>"Märken och priser"</f>
        <v>Märken och priser</v>
      </c>
      <c r="C79" s="177">
        <v>-4000</v>
      </c>
      <c r="D79" s="148">
        <v>-4000</v>
      </c>
      <c r="E79" s="171">
        <v>-3630</v>
      </c>
      <c r="F79" s="153">
        <v>-3710</v>
      </c>
      <c r="G79" s="127">
        <v>-6310</v>
      </c>
      <c r="H79" s="10">
        <v>-3790</v>
      </c>
    </row>
    <row r="80" spans="1:13" x14ac:dyDescent="0.25">
      <c r="A80" s="24" t="str">
        <f>"4800"</f>
        <v>4800</v>
      </c>
      <c r="B80" s="5" t="str">
        <f>"Medlemmarnas pengar"</f>
        <v>Medlemmarnas pengar</v>
      </c>
      <c r="C80" s="177"/>
      <c r="D80" s="148"/>
      <c r="E80" s="171"/>
      <c r="F80" s="153"/>
      <c r="G80" s="127"/>
      <c r="H80" s="10"/>
    </row>
    <row r="81" spans="1:8" x14ac:dyDescent="0.25">
      <c r="A81" s="26"/>
      <c r="B81" s="6"/>
      <c r="C81" s="177"/>
      <c r="D81" s="136"/>
      <c r="E81" s="6"/>
      <c r="F81" s="153"/>
      <c r="G81" s="129"/>
      <c r="H81" s="10"/>
    </row>
    <row r="82" spans="1:8" s="1" customFormat="1" ht="15.75" thickBot="1" x14ac:dyDescent="0.3">
      <c r="A82" s="27" t="str">
        <f>"S:a Råvaror och förnödenheter mm"</f>
        <v>S:a Råvaror och förnödenheter mm</v>
      </c>
      <c r="B82" s="14"/>
      <c r="C82" s="179">
        <f>SUM(C59:C80)</f>
        <v>-271000</v>
      </c>
      <c r="D82" s="146">
        <f>SUM(D59:D80)</f>
        <v>-305000</v>
      </c>
      <c r="E82" s="170">
        <f>SUM(E59:E80)</f>
        <v>-268707.83</v>
      </c>
      <c r="F82" s="109">
        <f>SUM(F59:F80)</f>
        <v>-286003.48</v>
      </c>
      <c r="G82" s="119">
        <f>SUM(G59:G80)</f>
        <v>-259088</v>
      </c>
      <c r="H82" s="55">
        <f>SUM(H59:H81)</f>
        <v>-220718</v>
      </c>
    </row>
    <row r="83" spans="1:8" x14ac:dyDescent="0.25">
      <c r="A83" s="19"/>
      <c r="B83" s="20"/>
      <c r="C83" s="180"/>
      <c r="D83" s="137"/>
      <c r="E83" s="168"/>
      <c r="F83" s="155"/>
      <c r="G83" s="128"/>
      <c r="H83" s="30"/>
    </row>
    <row r="84" spans="1:8" x14ac:dyDescent="0.25">
      <c r="A84" s="26"/>
      <c r="B84" s="6"/>
      <c r="C84" s="177"/>
      <c r="D84" s="136"/>
      <c r="E84" s="6"/>
      <c r="F84" s="153"/>
      <c r="G84" s="129"/>
      <c r="H84" s="10"/>
    </row>
    <row r="85" spans="1:8" s="1" customFormat="1" ht="15.75" thickBot="1" x14ac:dyDescent="0.3">
      <c r="A85" s="27" t="str">
        <f>"Bruttovinst"</f>
        <v>Bruttovinst</v>
      </c>
      <c r="B85" s="14"/>
      <c r="C85" s="179">
        <f t="shared" ref="C85:H85" si="2">C55+C82</f>
        <v>107500</v>
      </c>
      <c r="D85" s="142">
        <f t="shared" si="2"/>
        <v>107000</v>
      </c>
      <c r="E85" s="167">
        <f t="shared" si="2"/>
        <v>155119.5</v>
      </c>
      <c r="F85" s="154">
        <f t="shared" si="2"/>
        <v>278452.52</v>
      </c>
      <c r="G85" s="119">
        <f t="shared" si="2"/>
        <v>164795.5</v>
      </c>
      <c r="H85" s="28">
        <f t="shared" si="2"/>
        <v>252234</v>
      </c>
    </row>
    <row r="86" spans="1:8" x14ac:dyDescent="0.25">
      <c r="A86" s="19"/>
      <c r="B86" s="20"/>
      <c r="C86" s="180"/>
      <c r="D86" s="137"/>
      <c r="E86" s="168"/>
      <c r="F86" s="155"/>
      <c r="G86" s="128"/>
      <c r="H86" s="30"/>
    </row>
    <row r="87" spans="1:8" x14ac:dyDescent="0.25">
      <c r="A87" s="22" t="str">
        <f>"Övriga externa kostnader"</f>
        <v>Övriga externa kostnader</v>
      </c>
      <c r="B87" s="6"/>
      <c r="C87" s="177"/>
      <c r="D87" s="136"/>
      <c r="E87" s="6"/>
      <c r="F87" s="153"/>
      <c r="G87" s="129"/>
      <c r="H87" s="10"/>
    </row>
    <row r="88" spans="1:8" x14ac:dyDescent="0.25">
      <c r="A88" s="24" t="str">
        <f>"5110"</f>
        <v>5110</v>
      </c>
      <c r="B88" s="5" t="str">
        <f>"Arrende"</f>
        <v>Arrende</v>
      </c>
      <c r="C88" s="177">
        <v>-4000</v>
      </c>
      <c r="D88" s="148">
        <v>-4000</v>
      </c>
      <c r="E88" s="171">
        <v>-4000</v>
      </c>
      <c r="F88" s="153">
        <v>-1643</v>
      </c>
      <c r="G88" s="127">
        <v>-1643</v>
      </c>
      <c r="H88" s="10">
        <v>-1637</v>
      </c>
    </row>
    <row r="89" spans="1:8" x14ac:dyDescent="0.25">
      <c r="A89" s="24" t="str">
        <f>"5120"</f>
        <v>5120</v>
      </c>
      <c r="B89" s="5" t="str">
        <f>"Elektricitet"</f>
        <v>Elektricitet</v>
      </c>
      <c r="C89" s="177">
        <v>-25000</v>
      </c>
      <c r="D89" s="148">
        <v>-30000</v>
      </c>
      <c r="E89" s="171">
        <v>-17527</v>
      </c>
      <c r="F89" s="153">
        <v>-24526</v>
      </c>
      <c r="G89" s="127">
        <v>-28939</v>
      </c>
      <c r="H89" s="10">
        <v>-21334</v>
      </c>
    </row>
    <row r="90" spans="1:8" x14ac:dyDescent="0.25">
      <c r="A90" s="24" t="str">
        <f>"5140"</f>
        <v>5140</v>
      </c>
      <c r="B90" s="5" t="str">
        <f>"Vatten och sophämtning"</f>
        <v>Vatten och sophämtning</v>
      </c>
      <c r="C90" s="177">
        <v>-6500</v>
      </c>
      <c r="D90" s="148">
        <v>-6000</v>
      </c>
      <c r="E90" s="171">
        <v>-6464</v>
      </c>
      <c r="F90" s="153">
        <v>-5849</v>
      </c>
      <c r="G90" s="127">
        <v>-6178</v>
      </c>
      <c r="H90" s="10">
        <v>-6077</v>
      </c>
    </row>
    <row r="91" spans="1:8" x14ac:dyDescent="0.25">
      <c r="A91" s="24" t="s">
        <v>45</v>
      </c>
      <c r="B91" s="5" t="s">
        <v>46</v>
      </c>
      <c r="C91" s="177">
        <v>-4000</v>
      </c>
      <c r="D91" s="148"/>
      <c r="E91" s="171">
        <v>-8039.38</v>
      </c>
      <c r="F91" s="153"/>
      <c r="G91" s="127"/>
      <c r="H91" s="10"/>
    </row>
    <row r="92" spans="1:8" x14ac:dyDescent="0.25">
      <c r="A92" s="24" t="str">
        <f>"5170"</f>
        <v>5170</v>
      </c>
      <c r="B92" s="5" t="str">
        <f>"Fastighetsunderhåll"</f>
        <v>Fastighetsunderhåll</v>
      </c>
      <c r="C92" s="177">
        <v>-50000</v>
      </c>
      <c r="D92" s="148">
        <v>-20000</v>
      </c>
      <c r="E92" s="171">
        <v>-5425.5</v>
      </c>
      <c r="F92" s="153">
        <v>-18240</v>
      </c>
      <c r="G92" s="127">
        <v>-53805</v>
      </c>
      <c r="H92" s="10">
        <v>-3691</v>
      </c>
    </row>
    <row r="93" spans="1:8" x14ac:dyDescent="0.25">
      <c r="A93" s="24" t="s">
        <v>47</v>
      </c>
      <c r="B93" s="5" t="s">
        <v>48</v>
      </c>
      <c r="C93" s="177"/>
      <c r="D93" s="148"/>
      <c r="E93" s="171">
        <v>-4006</v>
      </c>
      <c r="F93" s="153">
        <v>-61624.5</v>
      </c>
      <c r="G93" s="127"/>
      <c r="H93" s="10">
        <v>-4528</v>
      </c>
    </row>
    <row r="94" spans="1:8" x14ac:dyDescent="0.25">
      <c r="A94" s="24" t="str">
        <f>"5410"</f>
        <v>5410</v>
      </c>
      <c r="B94" s="5" t="str">
        <f>"Förbrukningsinventarier"</f>
        <v>Förbrukningsinventarier</v>
      </c>
      <c r="C94" s="177">
        <v>-62000</v>
      </c>
      <c r="D94" s="148">
        <v>-1000</v>
      </c>
      <c r="E94" s="171">
        <v>-1795</v>
      </c>
      <c r="F94" s="153">
        <v>-1038</v>
      </c>
      <c r="G94" s="127">
        <v>-1675</v>
      </c>
      <c r="H94" s="10">
        <v>-992</v>
      </c>
    </row>
    <row r="95" spans="1:8" x14ac:dyDescent="0.25">
      <c r="A95" s="24" t="str">
        <f>"5420"</f>
        <v>5420</v>
      </c>
      <c r="B95" s="5" t="str">
        <f>"Programvaror"</f>
        <v>Programvaror</v>
      </c>
      <c r="C95" s="177">
        <v>-1500</v>
      </c>
      <c r="D95" s="148">
        <v>-2500</v>
      </c>
      <c r="E95" s="171"/>
      <c r="F95" s="153">
        <v>-1265</v>
      </c>
      <c r="G95" s="127">
        <v>-1200</v>
      </c>
      <c r="H95" s="10">
        <v>-1135</v>
      </c>
    </row>
    <row r="96" spans="1:8" x14ac:dyDescent="0.25">
      <c r="A96" s="24" t="s">
        <v>49</v>
      </c>
      <c r="B96" s="5" t="s">
        <v>50</v>
      </c>
      <c r="C96" s="177">
        <v>-4000</v>
      </c>
      <c r="D96" s="148">
        <v>-3000</v>
      </c>
      <c r="E96" s="171">
        <v>-3556</v>
      </c>
      <c r="F96" s="153"/>
      <c r="G96" s="127"/>
      <c r="H96" s="10"/>
    </row>
    <row r="97" spans="1:8" x14ac:dyDescent="0.25">
      <c r="A97" s="24" t="str">
        <f>"5500"</f>
        <v>5500</v>
      </c>
      <c r="B97" s="5" t="str">
        <f>"Kanotunderhåll"</f>
        <v>Kanotunderhåll</v>
      </c>
      <c r="C97" s="177">
        <v>-5000</v>
      </c>
      <c r="D97" s="148">
        <v>-5000</v>
      </c>
      <c r="E97" s="171">
        <v>-2258</v>
      </c>
      <c r="F97" s="153">
        <v>-4670</v>
      </c>
      <c r="G97" s="127">
        <v>-1400</v>
      </c>
      <c r="H97" s="10">
        <v>-1823</v>
      </c>
    </row>
    <row r="98" spans="1:8" x14ac:dyDescent="0.25">
      <c r="A98" s="24" t="str">
        <f>"5611"</f>
        <v>5611</v>
      </c>
      <c r="B98" s="5" t="s">
        <v>51</v>
      </c>
      <c r="C98" s="177">
        <v>-4000</v>
      </c>
      <c r="D98" s="148">
        <v>-2000</v>
      </c>
      <c r="E98" s="171">
        <v>-1098</v>
      </c>
      <c r="F98" s="153">
        <v>-573</v>
      </c>
      <c r="G98" s="127">
        <v>-1867</v>
      </c>
      <c r="H98" s="10">
        <v>-664</v>
      </c>
    </row>
    <row r="99" spans="1:8" x14ac:dyDescent="0.25">
      <c r="A99" s="24" t="str">
        <f>"5612"</f>
        <v>5612</v>
      </c>
      <c r="B99" s="5" t="str">
        <f>"Försäkring"</f>
        <v>Försäkring</v>
      </c>
      <c r="C99" s="177">
        <v>-29000</v>
      </c>
      <c r="D99" s="148">
        <v>-30000</v>
      </c>
      <c r="E99" s="171">
        <v>-28098</v>
      </c>
      <c r="F99" s="153">
        <v>-27736</v>
      </c>
      <c r="G99" s="127">
        <v>-43706</v>
      </c>
      <c r="H99" s="10">
        <v>-36936</v>
      </c>
    </row>
    <row r="100" spans="1:8" x14ac:dyDescent="0.25">
      <c r="A100" s="24" t="s">
        <v>52</v>
      </c>
      <c r="B100" s="5" t="s">
        <v>53</v>
      </c>
      <c r="C100" s="177">
        <v>-1000</v>
      </c>
      <c r="D100" s="148">
        <v>-500</v>
      </c>
      <c r="E100" s="171">
        <v>-4371</v>
      </c>
      <c r="F100" s="153"/>
      <c r="G100" s="127">
        <v>-400</v>
      </c>
      <c r="H100" s="10"/>
    </row>
    <row r="101" spans="1:8" x14ac:dyDescent="0.25">
      <c r="A101" s="24" t="str">
        <f>"5614"</f>
        <v>5614</v>
      </c>
      <c r="B101" s="5" t="str">
        <f>"Reparation och Underhåll"</f>
        <v>Reparation och Underhåll</v>
      </c>
      <c r="C101" s="177"/>
      <c r="D101" s="148"/>
      <c r="E101" s="171"/>
      <c r="F101" s="153">
        <v>-315</v>
      </c>
      <c r="G101" s="127"/>
      <c r="H101" s="10">
        <v>-8985</v>
      </c>
    </row>
    <row r="102" spans="1:8" x14ac:dyDescent="0.25">
      <c r="A102" s="24" t="str">
        <f>"5620"</f>
        <v>5620</v>
      </c>
      <c r="B102" s="5" t="s">
        <v>54</v>
      </c>
      <c r="C102" s="177">
        <v>-5000</v>
      </c>
      <c r="D102" s="148">
        <v>-4000</v>
      </c>
      <c r="E102" s="171">
        <v>-8015</v>
      </c>
      <c r="F102" s="153">
        <v>-1476</v>
      </c>
      <c r="G102" s="127">
        <v>-1721</v>
      </c>
      <c r="H102" s="10"/>
    </row>
    <row r="103" spans="1:8" x14ac:dyDescent="0.25">
      <c r="A103" s="24" t="s">
        <v>55</v>
      </c>
      <c r="B103" s="5" t="s">
        <v>56</v>
      </c>
      <c r="C103" s="177"/>
      <c r="D103" s="148"/>
      <c r="E103" s="171"/>
      <c r="F103" s="153"/>
      <c r="G103" s="127"/>
      <c r="H103" s="10">
        <v>-31345</v>
      </c>
    </row>
    <row r="104" spans="1:8" x14ac:dyDescent="0.25">
      <c r="A104" s="24" t="str">
        <f>"6110"</f>
        <v>6110</v>
      </c>
      <c r="B104" s="5" t="str">
        <f>"Kontorsmaterial"</f>
        <v>Kontorsmaterial</v>
      </c>
      <c r="C104" s="177">
        <v>-2000</v>
      </c>
      <c r="D104" s="148">
        <v>-1000</v>
      </c>
      <c r="E104" s="171">
        <v>-1733</v>
      </c>
      <c r="F104" s="153">
        <v>-138</v>
      </c>
      <c r="G104" s="127">
        <v>-115</v>
      </c>
      <c r="H104" s="10">
        <v>-1193</v>
      </c>
    </row>
    <row r="105" spans="1:8" x14ac:dyDescent="0.25">
      <c r="A105" s="24" t="str">
        <f>"6210"</f>
        <v>6210</v>
      </c>
      <c r="B105" s="5" t="str">
        <f>"Telefon"</f>
        <v>Telefon</v>
      </c>
      <c r="C105" s="177">
        <v>0</v>
      </c>
      <c r="D105" s="148"/>
      <c r="E105" s="171"/>
      <c r="F105" s="153">
        <v>-440</v>
      </c>
      <c r="G105" s="127">
        <v>-1928</v>
      </c>
      <c r="H105" s="10">
        <v>-2045</v>
      </c>
    </row>
    <row r="106" spans="1:8" x14ac:dyDescent="0.25">
      <c r="A106" s="24" t="str">
        <f>"6250"</f>
        <v>6250</v>
      </c>
      <c r="B106" s="5" t="str">
        <f>"Porto"</f>
        <v>Porto</v>
      </c>
      <c r="C106" s="177">
        <v>-200</v>
      </c>
      <c r="D106" s="148">
        <v>-200</v>
      </c>
      <c r="E106" s="171">
        <v>-140</v>
      </c>
      <c r="F106" s="153">
        <v>-60</v>
      </c>
      <c r="G106" s="127">
        <v>-60</v>
      </c>
      <c r="H106" s="10">
        <v>-629</v>
      </c>
    </row>
    <row r="107" spans="1:8" x14ac:dyDescent="0.25">
      <c r="A107" s="24" t="str">
        <f>"6570"</f>
        <v>6570</v>
      </c>
      <c r="B107" s="5" t="str">
        <f>"Bankkostnader"</f>
        <v>Bankkostnader</v>
      </c>
      <c r="C107" s="177">
        <v>-2000</v>
      </c>
      <c r="D107" s="148">
        <v>-2000</v>
      </c>
      <c r="E107" s="171">
        <v>-4.5</v>
      </c>
      <c r="F107" s="153">
        <v>-1869</v>
      </c>
      <c r="G107" s="127">
        <v>-1971</v>
      </c>
      <c r="H107" s="10">
        <v>-3250</v>
      </c>
    </row>
    <row r="108" spans="1:8" x14ac:dyDescent="0.25">
      <c r="A108" s="24" t="str">
        <f>"6980"</f>
        <v>6980</v>
      </c>
      <c r="B108" s="5" t="str">
        <f>"Föreningsavgift /Licenser"</f>
        <v>Föreningsavgift /Licenser</v>
      </c>
      <c r="C108" s="177">
        <v>-25000</v>
      </c>
      <c r="D108" s="148">
        <v>-32000</v>
      </c>
      <c r="E108" s="171">
        <v>-15790</v>
      </c>
      <c r="F108" s="153">
        <v>-26978</v>
      </c>
      <c r="G108" s="127">
        <v>-24550</v>
      </c>
      <c r="H108" s="10">
        <v>-19650</v>
      </c>
    </row>
    <row r="109" spans="1:8" x14ac:dyDescent="0.25">
      <c r="A109" s="24" t="str">
        <f>"6990"</f>
        <v>6990</v>
      </c>
      <c r="B109" s="5" t="str">
        <f>"Övriga Kostnader"</f>
        <v>Övriga Kostnader</v>
      </c>
      <c r="C109" s="177">
        <v>-4000</v>
      </c>
      <c r="D109" s="148">
        <v>-2000</v>
      </c>
      <c r="E109" s="171">
        <v>-3733.66</v>
      </c>
      <c r="F109" s="153">
        <v>-3766.5</v>
      </c>
      <c r="G109" s="127">
        <v>-14526.5</v>
      </c>
      <c r="H109" s="10">
        <v>-4063</v>
      </c>
    </row>
    <row r="110" spans="1:8" x14ac:dyDescent="0.25">
      <c r="A110" s="24" t="str">
        <f>"6991"</f>
        <v>6991</v>
      </c>
      <c r="B110" s="5" t="str">
        <f>"Container"</f>
        <v>Container</v>
      </c>
      <c r="C110" s="177"/>
      <c r="D110" s="148"/>
      <c r="E110" s="171"/>
      <c r="F110" s="153"/>
      <c r="G110" s="127"/>
      <c r="H110" s="10"/>
    </row>
    <row r="111" spans="1:8" x14ac:dyDescent="0.25">
      <c r="A111" s="26"/>
      <c r="B111" s="6"/>
      <c r="C111" s="177"/>
      <c r="D111" s="136"/>
      <c r="E111" s="6"/>
      <c r="F111" s="153"/>
      <c r="G111" s="127"/>
      <c r="H111" s="10"/>
    </row>
    <row r="112" spans="1:8" s="1" customFormat="1" ht="15.75" thickBot="1" x14ac:dyDescent="0.3">
      <c r="A112" s="27" t="str">
        <f>"S:a Övriga externa kostnader"</f>
        <v>S:a Övriga externa kostnader</v>
      </c>
      <c r="B112" s="14"/>
      <c r="C112" s="179">
        <f>SUM(C88:C110)</f>
        <v>-234200</v>
      </c>
      <c r="D112" s="146">
        <f>SUM(D88:D110)</f>
        <v>-145200</v>
      </c>
      <c r="E112" s="170">
        <f>SUM(E88:E110)</f>
        <v>-116054.04000000001</v>
      </c>
      <c r="F112" s="109">
        <f>SUM(F88:F110)</f>
        <v>-182207</v>
      </c>
      <c r="G112" s="119">
        <f>SUM(G88:G110)</f>
        <v>-185684.5</v>
      </c>
      <c r="H112" s="55">
        <f>SUM(H88:H111)</f>
        <v>-149977</v>
      </c>
    </row>
    <row r="113" spans="1:60" s="1" customFormat="1" ht="15.75" thickBot="1" x14ac:dyDescent="0.3">
      <c r="A113" s="80"/>
      <c r="B113" s="81"/>
      <c r="C113" s="181"/>
      <c r="D113" s="151"/>
      <c r="E113" s="172"/>
      <c r="F113" s="158"/>
      <c r="G113" s="130"/>
      <c r="H113" s="84"/>
    </row>
    <row r="114" spans="1:60" x14ac:dyDescent="0.25">
      <c r="A114" s="19"/>
      <c r="B114" s="20"/>
      <c r="C114" s="180"/>
      <c r="D114" s="137"/>
      <c r="E114" s="168"/>
      <c r="F114" s="155"/>
      <c r="G114" s="131"/>
      <c r="H114" s="30"/>
    </row>
    <row r="115" spans="1:60" x14ac:dyDescent="0.25">
      <c r="A115" s="22" t="str">
        <f>"Personalkostnader"</f>
        <v>Personalkostnader</v>
      </c>
      <c r="B115" s="6"/>
      <c r="C115" s="177"/>
      <c r="D115" s="136"/>
      <c r="E115" s="6"/>
      <c r="F115" s="153"/>
      <c r="G115" s="127"/>
      <c r="H115" s="10"/>
    </row>
    <row r="116" spans="1:60" x14ac:dyDescent="0.25">
      <c r="A116" s="24" t="str">
        <f>"7110"</f>
        <v>7110</v>
      </c>
      <c r="B116" s="5" t="str">
        <f>"Träningsbidrag"</f>
        <v>Träningsbidrag</v>
      </c>
      <c r="C116" s="177"/>
      <c r="D116" s="148">
        <v>-5000</v>
      </c>
      <c r="E116" s="171">
        <v>-400</v>
      </c>
      <c r="F116" s="153">
        <v>-3200</v>
      </c>
      <c r="G116" s="127">
        <v>-4600</v>
      </c>
      <c r="H116" s="10">
        <v>-7600</v>
      </c>
    </row>
    <row r="117" spans="1:60" x14ac:dyDescent="0.25">
      <c r="A117" s="24" t="s">
        <v>57</v>
      </c>
      <c r="B117" s="5" t="s">
        <v>58</v>
      </c>
      <c r="C117" s="177"/>
      <c r="D117" s="148">
        <v>-1600</v>
      </c>
      <c r="E117" s="171">
        <v>-600</v>
      </c>
      <c r="F117" s="153">
        <v>-900</v>
      </c>
      <c r="G117" s="127">
        <v>-2200</v>
      </c>
      <c r="H117" s="10">
        <v>-1600</v>
      </c>
    </row>
    <row r="118" spans="1:60" x14ac:dyDescent="0.25">
      <c r="A118" s="24" t="str">
        <f>"7210"</f>
        <v>7210</v>
      </c>
      <c r="B118" s="5" t="str">
        <f>"Resekostnads ersättning"</f>
        <v>Resekostnads ersättning</v>
      </c>
      <c r="C118" s="177"/>
      <c r="D118" s="148">
        <v>-8000</v>
      </c>
      <c r="E118" s="171">
        <v>-610</v>
      </c>
      <c r="F118" s="153">
        <v>-6961</v>
      </c>
      <c r="G118" s="127">
        <v>-6040</v>
      </c>
      <c r="H118" s="10">
        <v>-5381</v>
      </c>
    </row>
    <row r="119" spans="1:60" x14ac:dyDescent="0.25">
      <c r="A119" s="24" t="str">
        <f>"7610"</f>
        <v>7610</v>
      </c>
      <c r="B119" s="5" t="str">
        <f>"Utbildning"</f>
        <v>Utbildning</v>
      </c>
      <c r="C119" s="177"/>
      <c r="D119" s="148">
        <v>-15000</v>
      </c>
      <c r="E119" s="171"/>
      <c r="F119" s="153">
        <v>-11671</v>
      </c>
      <c r="G119" s="127">
        <v>-18925</v>
      </c>
      <c r="H119" s="10"/>
    </row>
    <row r="120" spans="1:60" x14ac:dyDescent="0.25">
      <c r="A120" s="26"/>
      <c r="B120" s="6" t="s">
        <v>37</v>
      </c>
      <c r="C120" s="177"/>
      <c r="D120" s="136"/>
      <c r="E120" s="6"/>
      <c r="F120" s="153"/>
      <c r="G120" s="127"/>
      <c r="H120" s="10"/>
    </row>
    <row r="121" spans="1:60" s="1" customFormat="1" ht="15.75" thickBot="1" x14ac:dyDescent="0.3">
      <c r="A121" s="27" t="str">
        <f>"S:a Personalkostnader"</f>
        <v>S:a Personalkostnader</v>
      </c>
      <c r="B121" s="14"/>
      <c r="C121" s="179">
        <f>SUM(C116:C119)</f>
        <v>0</v>
      </c>
      <c r="D121" s="146">
        <f>SUM(D116:D119)</f>
        <v>-29600</v>
      </c>
      <c r="E121" s="170">
        <f>SUM(E116:E119)</f>
        <v>-1610</v>
      </c>
      <c r="F121" s="154">
        <f>SUM(F116:F119)</f>
        <v>-22732</v>
      </c>
      <c r="G121" s="119">
        <f>SUM(G116:G119)</f>
        <v>-31765</v>
      </c>
      <c r="H121" s="55">
        <f>SUM(H116:H120)</f>
        <v>-14581</v>
      </c>
    </row>
    <row r="122" spans="1:60" x14ac:dyDescent="0.25">
      <c r="A122" s="19"/>
      <c r="B122" s="20"/>
      <c r="C122" s="180"/>
      <c r="D122" s="137"/>
      <c r="E122" s="168"/>
      <c r="F122" s="155"/>
      <c r="G122" s="131"/>
      <c r="H122" s="30"/>
    </row>
    <row r="123" spans="1:60" x14ac:dyDescent="0.25">
      <c r="A123" s="26"/>
      <c r="B123" s="6"/>
      <c r="C123" s="177"/>
      <c r="D123" s="136"/>
      <c r="E123" s="6"/>
      <c r="F123" s="153"/>
      <c r="G123" s="127"/>
      <c r="H123" s="10"/>
    </row>
    <row r="124" spans="1:60" s="2" customFormat="1" ht="15.75" thickBot="1" x14ac:dyDescent="0.3">
      <c r="A124" s="32" t="str">
        <f>"S:a Rörelsens kostnader inkl råvaror mm"</f>
        <v>S:a Rörelsens kostnader inkl råvaror mm</v>
      </c>
      <c r="B124" s="33"/>
      <c r="C124" s="163">
        <f>C82+C112+C121</f>
        <v>-505200</v>
      </c>
      <c r="D124" s="149">
        <f>D82+D112+D121</f>
        <v>-479800</v>
      </c>
      <c r="E124" s="149">
        <f>E82+E121+E112</f>
        <v>-386371.87</v>
      </c>
      <c r="F124" s="110">
        <f>F82+F121+F112</f>
        <v>-490942.48</v>
      </c>
      <c r="G124" s="111">
        <f>G82+G112+G121</f>
        <v>-476537.5</v>
      </c>
      <c r="H124" s="34">
        <f>H82+H112+H121</f>
        <v>-385276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1:60" s="2" customFormat="1" x14ac:dyDescent="0.25">
      <c r="A125" s="51"/>
      <c r="B125" s="17"/>
      <c r="C125" s="182"/>
      <c r="D125" s="138"/>
      <c r="E125" s="81"/>
      <c r="F125" s="156"/>
      <c r="G125" s="132"/>
      <c r="H125" s="5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s="2" customFormat="1" x14ac:dyDescent="0.25">
      <c r="A126" s="51" t="s">
        <v>59</v>
      </c>
      <c r="B126" s="17" t="s">
        <v>60</v>
      </c>
      <c r="C126" s="183"/>
      <c r="D126" s="139"/>
      <c r="E126" s="17">
        <v>1.35</v>
      </c>
      <c r="F126" s="157">
        <v>7419</v>
      </c>
      <c r="G126" s="132">
        <v>708</v>
      </c>
      <c r="H126" s="57">
        <v>1757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x14ac:dyDescent="0.25">
      <c r="A127" s="26"/>
      <c r="B127" s="6"/>
      <c r="C127" s="177"/>
      <c r="D127" s="136"/>
      <c r="E127" s="6"/>
      <c r="F127" s="153"/>
      <c r="G127" s="127"/>
      <c r="H127" s="10"/>
    </row>
    <row r="128" spans="1:60" s="3" customFormat="1" x14ac:dyDescent="0.25">
      <c r="A128" s="113" t="str">
        <f>"Beräknat resultat"</f>
        <v>Beräknat resultat</v>
      </c>
      <c r="B128" s="114"/>
      <c r="C128" s="164">
        <f t="shared" ref="C128:H128" si="3">C55+C124+C126</f>
        <v>-126700</v>
      </c>
      <c r="D128" s="150">
        <f t="shared" si="3"/>
        <v>-67800</v>
      </c>
      <c r="E128" s="150">
        <f t="shared" si="3"/>
        <v>37456.810000000019</v>
      </c>
      <c r="F128" s="115">
        <f t="shared" si="3"/>
        <v>80932.520000000019</v>
      </c>
      <c r="G128" s="116">
        <f t="shared" si="3"/>
        <v>-51946</v>
      </c>
      <c r="H128" s="117">
        <f t="shared" si="3"/>
        <v>89433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8" ht="15.75" thickBot="1" x14ac:dyDescent="0.3">
      <c r="A129" s="37"/>
      <c r="B129" s="15"/>
      <c r="C129" s="15"/>
      <c r="D129" s="15"/>
      <c r="E129" s="15"/>
      <c r="F129" s="109"/>
      <c r="G129" s="15"/>
      <c r="H129" s="70"/>
    </row>
  </sheetData>
  <pageMargins left="0.7" right="0.7" top="0.75" bottom="0.75" header="0.3" footer="0.3"/>
  <pageSetup paperSize="9" orientation="landscape" horizontalDpi="4294967294" verticalDpi="0" r:id="rId1"/>
  <headerFooter>
    <oddHeader>&amp;C&amp;"Calibri"&amp;10&amp;K008000 Zeppelin: Confidential GREEN&amp;1#_x000D_</oddHeader>
  </headerFooter>
  <customProperties>
    <customPr name="_pios_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BI129"/>
  <sheetViews>
    <sheetView workbookViewId="0">
      <selection activeCell="A114" sqref="A1:XFD1048576"/>
    </sheetView>
  </sheetViews>
  <sheetFormatPr defaultRowHeight="15" x14ac:dyDescent="0.25"/>
  <cols>
    <col min="1" max="1" width="12.28515625" customWidth="1"/>
    <col min="2" max="2" width="31.42578125" customWidth="1"/>
    <col min="3" max="3" width="17.28515625" bestFit="1" customWidth="1"/>
    <col min="4" max="5" width="19" customWidth="1"/>
    <col min="6" max="6" width="15.7109375" customWidth="1"/>
    <col min="7" max="8" width="14.28515625" customWidth="1"/>
    <col min="9" max="9" width="13.7109375" style="4" customWidth="1"/>
    <col min="10" max="10" width="20.7109375" bestFit="1" customWidth="1"/>
    <col min="11" max="11" width="16" customWidth="1"/>
    <col min="12" max="12" width="12.7109375" customWidth="1"/>
    <col min="13" max="13" width="32.7109375" bestFit="1" customWidth="1"/>
    <col min="14" max="14" width="11.7109375" bestFit="1" customWidth="1"/>
    <col min="15" max="61" width="9"/>
  </cols>
  <sheetData>
    <row r="1" spans="1:9" x14ac:dyDescent="0.25">
      <c r="A1" s="9"/>
      <c r="B1" s="47" t="s">
        <v>0</v>
      </c>
      <c r="C1" s="47" t="s">
        <v>1</v>
      </c>
      <c r="D1" s="47"/>
      <c r="E1" s="47"/>
      <c r="F1" s="194"/>
      <c r="G1" s="47"/>
      <c r="H1" s="47"/>
      <c r="I1" s="10"/>
    </row>
    <row r="2" spans="1:9" x14ac:dyDescent="0.25">
      <c r="A2" s="9"/>
      <c r="B2" s="87"/>
      <c r="C2" s="87" t="s">
        <v>2</v>
      </c>
      <c r="D2" s="87"/>
      <c r="E2" s="199" t="s">
        <v>3</v>
      </c>
      <c r="F2" s="195"/>
      <c r="G2" s="87"/>
      <c r="H2" s="7"/>
      <c r="I2" s="10"/>
    </row>
    <row r="3" spans="1:9" x14ac:dyDescent="0.25">
      <c r="A3" s="6"/>
      <c r="B3" s="6"/>
      <c r="C3" s="200">
        <v>2017</v>
      </c>
      <c r="D3" s="173">
        <v>2016</v>
      </c>
      <c r="E3" s="58">
        <v>2016</v>
      </c>
      <c r="F3" s="58">
        <v>2015</v>
      </c>
      <c r="G3" s="58">
        <v>2014</v>
      </c>
      <c r="H3" s="121">
        <v>2013</v>
      </c>
      <c r="I3" s="58">
        <v>2012</v>
      </c>
    </row>
    <row r="4" spans="1:9" ht="15.75" thickBot="1" x14ac:dyDescent="0.3">
      <c r="A4" s="16"/>
      <c r="B4" s="16"/>
      <c r="C4" s="201" t="s">
        <v>4</v>
      </c>
      <c r="D4" s="174" t="s">
        <v>4</v>
      </c>
      <c r="E4" s="59" t="s">
        <v>5</v>
      </c>
      <c r="F4" s="59" t="s">
        <v>5</v>
      </c>
      <c r="G4" s="59" t="s">
        <v>5</v>
      </c>
      <c r="H4" s="122" t="s">
        <v>5</v>
      </c>
      <c r="I4" s="60" t="s">
        <v>5</v>
      </c>
    </row>
    <row r="5" spans="1:9" x14ac:dyDescent="0.25">
      <c r="A5" s="19"/>
      <c r="B5" s="20"/>
      <c r="C5" s="202"/>
      <c r="D5" s="175"/>
      <c r="E5" s="20"/>
      <c r="F5" s="20"/>
      <c r="G5" s="20"/>
      <c r="H5" s="123"/>
      <c r="I5" s="30"/>
    </row>
    <row r="6" spans="1:9" x14ac:dyDescent="0.25">
      <c r="A6" s="22" t="str">
        <f>"Rörelsens intäkter och lagerförändring"</f>
        <v>Rörelsens intäkter och lagerförändring</v>
      </c>
      <c r="B6" s="6"/>
      <c r="C6" s="203"/>
      <c r="D6" s="176"/>
      <c r="E6" s="6"/>
      <c r="F6" s="6"/>
      <c r="G6" s="6"/>
      <c r="H6" s="124"/>
      <c r="I6" s="10"/>
    </row>
    <row r="7" spans="1:9" x14ac:dyDescent="0.25">
      <c r="A7" s="22" t="str">
        <f>"Nettoomsättning"</f>
        <v>Nettoomsättning</v>
      </c>
      <c r="B7" s="6"/>
      <c r="C7" s="203"/>
      <c r="D7" s="176"/>
      <c r="E7" s="6"/>
      <c r="F7" s="6"/>
      <c r="G7" s="6"/>
      <c r="H7" s="124"/>
      <c r="I7" s="10"/>
    </row>
    <row r="8" spans="1:9" x14ac:dyDescent="0.25">
      <c r="A8" s="186" t="str">
        <f>"3110"</f>
        <v>3110</v>
      </c>
      <c r="B8" s="5" t="str">
        <f>"Medlemsavgifter"</f>
        <v>Medlemsavgifter</v>
      </c>
      <c r="C8" s="210">
        <v>92000</v>
      </c>
      <c r="D8" s="177">
        <v>92000</v>
      </c>
      <c r="E8" s="188">
        <v>94050</v>
      </c>
      <c r="F8" s="165">
        <v>92225</v>
      </c>
      <c r="G8" s="153">
        <v>91000</v>
      </c>
      <c r="H8" s="125">
        <v>83650</v>
      </c>
      <c r="I8" s="10">
        <v>72350</v>
      </c>
    </row>
    <row r="9" spans="1:9" x14ac:dyDescent="0.25">
      <c r="A9" s="186" t="str">
        <f>"3120"</f>
        <v>3120</v>
      </c>
      <c r="B9" s="5" t="str">
        <f>"Intäkter kanothyra"</f>
        <v>Intäkter kanothyra</v>
      </c>
      <c r="C9" s="210">
        <v>15000</v>
      </c>
      <c r="D9" s="177">
        <v>13000</v>
      </c>
      <c r="E9" s="188">
        <v>15440</v>
      </c>
      <c r="F9" s="165">
        <v>13125</v>
      </c>
      <c r="G9" s="153">
        <v>17450</v>
      </c>
      <c r="H9" s="125">
        <v>13450</v>
      </c>
      <c r="I9" s="10">
        <v>13000</v>
      </c>
    </row>
    <row r="10" spans="1:9" x14ac:dyDescent="0.25">
      <c r="A10" s="186" t="str">
        <f>"3130"</f>
        <v>3130</v>
      </c>
      <c r="B10" s="5" t="str">
        <f>"Intäkter kanotplats"</f>
        <v>Intäkter kanotplats</v>
      </c>
      <c r="C10" s="210">
        <v>24000</v>
      </c>
      <c r="D10" s="177">
        <v>23000</v>
      </c>
      <c r="E10" s="188">
        <v>24625</v>
      </c>
      <c r="F10" s="165">
        <v>23375</v>
      </c>
      <c r="G10" s="153">
        <v>17713</v>
      </c>
      <c r="H10" s="125">
        <v>18175</v>
      </c>
      <c r="I10" s="10">
        <v>15750</v>
      </c>
    </row>
    <row r="11" spans="1:9" x14ac:dyDescent="0.25">
      <c r="A11" s="186" t="str">
        <f>"3140"</f>
        <v>3140</v>
      </c>
      <c r="B11" s="5" t="str">
        <f>"Intäkter kanotskola"</f>
        <v>Intäkter kanotskola</v>
      </c>
      <c r="C11" s="210">
        <v>20000</v>
      </c>
      <c r="D11" s="177">
        <v>26000</v>
      </c>
      <c r="E11" s="188">
        <v>17550</v>
      </c>
      <c r="F11" s="165">
        <v>25525</v>
      </c>
      <c r="G11" s="153">
        <v>35750</v>
      </c>
      <c r="H11" s="125">
        <v>24535</v>
      </c>
      <c r="I11" s="10">
        <v>24050</v>
      </c>
    </row>
    <row r="12" spans="1:9" x14ac:dyDescent="0.25">
      <c r="A12" s="186" t="str">
        <f>"3142"</f>
        <v>3142</v>
      </c>
      <c r="B12" s="5" t="str">
        <f>"Prova-på-paddling"</f>
        <v>Prova-på-paddling</v>
      </c>
      <c r="C12" s="210">
        <v>12000</v>
      </c>
      <c r="D12" s="177">
        <v>12000</v>
      </c>
      <c r="E12" s="188">
        <v>13600</v>
      </c>
      <c r="F12" s="165">
        <v>12400</v>
      </c>
      <c r="G12" s="153">
        <v>18000</v>
      </c>
      <c r="H12" s="125">
        <v>7200</v>
      </c>
      <c r="I12" s="10">
        <v>3200</v>
      </c>
    </row>
    <row r="13" spans="1:9" x14ac:dyDescent="0.25">
      <c r="A13" s="186" t="s">
        <v>6</v>
      </c>
      <c r="B13" s="5" t="s">
        <v>7</v>
      </c>
      <c r="C13" s="210">
        <v>10000</v>
      </c>
      <c r="D13" s="177">
        <v>5000</v>
      </c>
      <c r="E13" s="188">
        <v>16200</v>
      </c>
      <c r="F13" s="165">
        <v>6000</v>
      </c>
      <c r="G13" s="153">
        <v>3100</v>
      </c>
      <c r="H13" s="125">
        <v>7600</v>
      </c>
      <c r="I13" s="10"/>
    </row>
    <row r="14" spans="1:9" x14ac:dyDescent="0.25">
      <c r="A14" s="186" t="str">
        <f>"3150"</f>
        <v>3150</v>
      </c>
      <c r="B14" s="5" t="s">
        <v>8</v>
      </c>
      <c r="C14" s="210"/>
      <c r="D14" s="177">
        <v>0</v>
      </c>
      <c r="E14" s="188"/>
      <c r="F14" s="165"/>
      <c r="G14" s="153">
        <v>12000</v>
      </c>
      <c r="H14" s="125">
        <v>12000</v>
      </c>
      <c r="I14" s="10">
        <v>12000</v>
      </c>
    </row>
    <row r="15" spans="1:9" x14ac:dyDescent="0.25">
      <c r="A15" s="186" t="str">
        <f>"3210"</f>
        <v>3210</v>
      </c>
      <c r="B15" s="44" t="str">
        <f>"Intäkter tävling/transport"</f>
        <v>Intäkter tävling/transport</v>
      </c>
      <c r="C15" s="211"/>
      <c r="D15" s="178"/>
      <c r="E15" s="196"/>
      <c r="F15" s="166"/>
      <c r="G15" s="153"/>
      <c r="H15" s="126"/>
      <c r="I15" s="10"/>
    </row>
    <row r="16" spans="1:9" x14ac:dyDescent="0.25">
      <c r="A16" s="186" t="str">
        <f>"3211"</f>
        <v>3211</v>
      </c>
      <c r="B16" s="5" t="str">
        <f>"Anmälningsavgifter"</f>
        <v>Anmälningsavgifter</v>
      </c>
      <c r="C16" s="210">
        <v>8000</v>
      </c>
      <c r="D16" s="177">
        <v>6000</v>
      </c>
      <c r="E16" s="188">
        <v>7800</v>
      </c>
      <c r="F16" s="165">
        <v>6400</v>
      </c>
      <c r="G16" s="153">
        <v>12000</v>
      </c>
      <c r="H16" s="125">
        <v>13120</v>
      </c>
      <c r="I16" s="10">
        <v>9500</v>
      </c>
    </row>
    <row r="17" spans="1:12" x14ac:dyDescent="0.25">
      <c r="A17" s="186" t="str">
        <f>"3212"</f>
        <v>3212</v>
      </c>
      <c r="B17" s="5" t="str">
        <f>"Transportavgift"</f>
        <v>Transportavgift</v>
      </c>
      <c r="C17" s="210" t="s">
        <v>117</v>
      </c>
      <c r="D17" s="177">
        <v>1000</v>
      </c>
      <c r="E17" s="188"/>
      <c r="F17" s="165">
        <v>400</v>
      </c>
      <c r="G17" s="153">
        <v>100</v>
      </c>
      <c r="H17" s="125">
        <v>1800</v>
      </c>
      <c r="I17" s="10">
        <v>600</v>
      </c>
    </row>
    <row r="18" spans="1:12" x14ac:dyDescent="0.25">
      <c r="A18" s="186" t="str">
        <f>"3213"</f>
        <v>3213</v>
      </c>
      <c r="B18" s="5" t="str">
        <f>"Kost och logi under tävlingar"</f>
        <v>Kost och logi under tävlingar</v>
      </c>
      <c r="C18" s="210"/>
      <c r="D18" s="177"/>
      <c r="E18" s="188">
        <v>7635</v>
      </c>
      <c r="F18" s="165">
        <v>5390</v>
      </c>
      <c r="G18" s="153">
        <v>12555</v>
      </c>
      <c r="H18" s="125">
        <v>2400</v>
      </c>
      <c r="I18" s="10">
        <v>11950</v>
      </c>
    </row>
    <row r="19" spans="1:12" x14ac:dyDescent="0.25">
      <c r="A19" s="186">
        <v>3214</v>
      </c>
      <c r="B19" s="6" t="s">
        <v>9</v>
      </c>
      <c r="C19" s="210"/>
      <c r="D19" s="177"/>
      <c r="E19" s="188"/>
      <c r="F19" s="165"/>
      <c r="G19" s="153"/>
      <c r="H19" s="125"/>
      <c r="I19" s="10"/>
    </row>
    <row r="20" spans="1:12" x14ac:dyDescent="0.25">
      <c r="A20" s="186"/>
      <c r="B20" s="44"/>
      <c r="C20" s="211"/>
      <c r="D20" s="178"/>
      <c r="E20" s="196"/>
      <c r="F20" s="166"/>
      <c r="G20" s="153"/>
      <c r="H20" s="126"/>
      <c r="I20" s="10"/>
    </row>
    <row r="21" spans="1:12" x14ac:dyDescent="0.25">
      <c r="A21" s="186" t="str">
        <f>"3221"</f>
        <v>3221</v>
      </c>
      <c r="B21" s="5" t="s">
        <v>10</v>
      </c>
      <c r="C21" s="210">
        <v>10000</v>
      </c>
      <c r="D21" s="177">
        <v>8000</v>
      </c>
      <c r="E21" s="188">
        <v>9850</v>
      </c>
      <c r="F21" s="165">
        <v>8200</v>
      </c>
      <c r="G21" s="153">
        <v>5450</v>
      </c>
      <c r="H21" s="125">
        <v>1650</v>
      </c>
      <c r="I21" s="10">
        <v>5800</v>
      </c>
    </row>
    <row r="22" spans="1:12" x14ac:dyDescent="0.25">
      <c r="A22" s="186" t="s">
        <v>11</v>
      </c>
      <c r="B22" s="5" t="s">
        <v>12</v>
      </c>
      <c r="C22" s="210"/>
      <c r="D22" s="177"/>
      <c r="E22" s="188"/>
      <c r="F22" s="165"/>
      <c r="G22" s="153"/>
      <c r="H22" s="125"/>
      <c r="I22" s="10"/>
    </row>
    <row r="23" spans="1:12" x14ac:dyDescent="0.25">
      <c r="A23" s="186" t="str">
        <f>"3223"</f>
        <v>3223</v>
      </c>
      <c r="B23" s="5" t="str">
        <f>"Intäkter SM läger"</f>
        <v>Intäkter SM läger</v>
      </c>
      <c r="C23" s="210">
        <v>18000</v>
      </c>
      <c r="D23" s="177">
        <v>18000</v>
      </c>
      <c r="E23" s="188">
        <v>17100</v>
      </c>
      <c r="F23" s="165">
        <v>18000</v>
      </c>
      <c r="G23" s="153">
        <v>7500</v>
      </c>
      <c r="H23" s="125">
        <v>8400</v>
      </c>
      <c r="I23" s="10">
        <v>11200</v>
      </c>
    </row>
    <row r="24" spans="1:12" x14ac:dyDescent="0.25">
      <c r="A24" s="186" t="s">
        <v>13</v>
      </c>
      <c r="B24" s="5" t="s">
        <v>14</v>
      </c>
      <c r="C24" s="210">
        <v>5000</v>
      </c>
      <c r="D24" s="177">
        <v>10000</v>
      </c>
      <c r="E24" s="188"/>
      <c r="F24" s="165">
        <v>5434</v>
      </c>
      <c r="G24" s="153">
        <v>11030</v>
      </c>
      <c r="H24" s="125">
        <v>13415.5</v>
      </c>
      <c r="I24" s="10">
        <v>6734</v>
      </c>
    </row>
    <row r="25" spans="1:12" x14ac:dyDescent="0.25">
      <c r="A25" s="186" t="str">
        <f>"3310"</f>
        <v>3310</v>
      </c>
      <c r="B25" s="5" t="str">
        <f>"Bingolotto"</f>
        <v>Bingolotto</v>
      </c>
      <c r="C25" s="210">
        <v>900</v>
      </c>
      <c r="D25" s="177">
        <v>1000</v>
      </c>
      <c r="E25" s="188">
        <v>910</v>
      </c>
      <c r="F25" s="165">
        <v>1092</v>
      </c>
      <c r="G25" s="153">
        <v>3943</v>
      </c>
      <c r="H25" s="125">
        <v>2388</v>
      </c>
      <c r="I25" s="10">
        <v>1404</v>
      </c>
    </row>
    <row r="26" spans="1:12" x14ac:dyDescent="0.25">
      <c r="A26" s="186" t="str">
        <f>"3320"</f>
        <v>3320</v>
      </c>
      <c r="B26" s="5" t="str">
        <f>"Övrig lotteriverksamhet"</f>
        <v>Övrig lotteriverksamhet</v>
      </c>
      <c r="C26" s="210"/>
      <c r="D26" s="177"/>
      <c r="E26" s="188"/>
      <c r="F26" s="165">
        <v>1787</v>
      </c>
      <c r="G26" s="153"/>
      <c r="H26" s="125"/>
      <c r="I26" s="10">
        <v>1430</v>
      </c>
    </row>
    <row r="27" spans="1:12" x14ac:dyDescent="0.25">
      <c r="A27" s="186" t="s">
        <v>15</v>
      </c>
      <c r="B27" s="5" t="s">
        <v>16</v>
      </c>
      <c r="C27" s="210"/>
      <c r="D27" s="177"/>
      <c r="E27" s="188"/>
      <c r="F27" s="165"/>
      <c r="G27" s="153"/>
      <c r="H27" s="125"/>
      <c r="I27" s="10"/>
    </row>
    <row r="28" spans="1:12" x14ac:dyDescent="0.25">
      <c r="A28" s="186" t="str">
        <f>"3420"</f>
        <v>3420</v>
      </c>
      <c r="B28" s="5" t="str">
        <f>"Intäkter Sponsorer"</f>
        <v>Intäkter Sponsorer</v>
      </c>
      <c r="C28" s="210">
        <v>39000</v>
      </c>
      <c r="D28" s="177">
        <v>40000</v>
      </c>
      <c r="E28" s="188">
        <v>37000</v>
      </c>
      <c r="F28" s="165">
        <v>54000</v>
      </c>
      <c r="G28" s="153">
        <v>62570</v>
      </c>
      <c r="H28" s="125">
        <v>41400</v>
      </c>
      <c r="I28" s="10">
        <v>87700</v>
      </c>
      <c r="K28" s="4"/>
      <c r="L28" s="4"/>
    </row>
    <row r="29" spans="1:12" x14ac:dyDescent="0.25">
      <c r="A29" s="186" t="str">
        <f>"3421"</f>
        <v>3421</v>
      </c>
      <c r="B29" s="5" t="s">
        <v>17</v>
      </c>
      <c r="C29" s="210">
        <v>30000</v>
      </c>
      <c r="D29" s="177">
        <v>30000</v>
      </c>
      <c r="E29" s="188">
        <v>93000</v>
      </c>
      <c r="F29" s="165">
        <v>28000</v>
      </c>
      <c r="G29" s="153">
        <v>73000</v>
      </c>
      <c r="H29" s="125">
        <v>28000</v>
      </c>
      <c r="I29" s="10">
        <v>20000</v>
      </c>
    </row>
    <row r="30" spans="1:12" x14ac:dyDescent="0.25">
      <c r="A30" s="186" t="s">
        <v>18</v>
      </c>
      <c r="B30" s="5" t="s">
        <v>19</v>
      </c>
      <c r="C30" s="210"/>
      <c r="D30" s="177"/>
      <c r="E30" s="188">
        <v>27000</v>
      </c>
      <c r="F30" s="165">
        <v>28775.33</v>
      </c>
      <c r="G30" s="153">
        <v>26179</v>
      </c>
      <c r="H30" s="125">
        <v>50350</v>
      </c>
      <c r="I30" s="10">
        <v>35000</v>
      </c>
    </row>
    <row r="31" spans="1:12" x14ac:dyDescent="0.25">
      <c r="A31" s="186" t="str">
        <f>"3430"</f>
        <v>3430</v>
      </c>
      <c r="B31" s="5" t="str">
        <f>"Intäkter föräldrarföreningen"</f>
        <v>Intäkter föräldrarföreningen</v>
      </c>
      <c r="C31" s="210"/>
      <c r="D31" s="177"/>
      <c r="E31" s="188"/>
      <c r="F31" s="165"/>
      <c r="G31" s="153"/>
      <c r="H31" s="127"/>
      <c r="I31" s="10">
        <v>15000</v>
      </c>
    </row>
    <row r="32" spans="1:12" x14ac:dyDescent="0.25">
      <c r="A32" s="186" t="str">
        <f>"3520"</f>
        <v>3520</v>
      </c>
      <c r="B32" s="5" t="str">
        <f>"Intäkter Kanotförsäkring"</f>
        <v>Intäkter Kanotförsäkring</v>
      </c>
      <c r="C32" s="210" t="s">
        <v>118</v>
      </c>
      <c r="D32" s="177">
        <v>3500</v>
      </c>
      <c r="E32" s="188">
        <v>430</v>
      </c>
      <c r="F32" s="165">
        <v>2100</v>
      </c>
      <c r="G32" s="153">
        <v>3458</v>
      </c>
      <c r="H32" s="127">
        <v>3830</v>
      </c>
      <c r="I32" s="10">
        <v>5976</v>
      </c>
    </row>
    <row r="33" spans="1:13" x14ac:dyDescent="0.25">
      <c r="A33" s="186" t="s">
        <v>20</v>
      </c>
      <c r="B33" s="5" t="s">
        <v>21</v>
      </c>
      <c r="C33" s="210"/>
      <c r="D33" s="177"/>
      <c r="E33" s="188"/>
      <c r="F33" s="165"/>
      <c r="G33" s="153">
        <v>61624</v>
      </c>
      <c r="H33" s="127"/>
      <c r="I33" s="10"/>
    </row>
    <row r="34" spans="1:13" x14ac:dyDescent="0.25">
      <c r="A34" s="186" t="str">
        <f>"3710"</f>
        <v>3710</v>
      </c>
      <c r="B34" s="5" t="str">
        <f>"Kommunala bidrag"</f>
        <v>Kommunala bidrag</v>
      </c>
      <c r="C34" s="210">
        <v>51000</v>
      </c>
      <c r="D34" s="177">
        <v>54000</v>
      </c>
      <c r="E34" s="188">
        <v>51130</v>
      </c>
      <c r="F34" s="165">
        <v>54852</v>
      </c>
      <c r="G34" s="153">
        <v>52860</v>
      </c>
      <c r="H34" s="127">
        <v>51090</v>
      </c>
      <c r="I34" s="10">
        <v>62752</v>
      </c>
    </row>
    <row r="35" spans="1:13" x14ac:dyDescent="0.25">
      <c r="A35" s="186" t="str">
        <f>"3730"</f>
        <v>3730</v>
      </c>
      <c r="B35" s="5" t="str">
        <f>"LOK-stöd Riksidrottsförbundet"</f>
        <v>LOK-stöd Riksidrottsförbundet</v>
      </c>
      <c r="C35" s="210">
        <v>40000</v>
      </c>
      <c r="D35" s="177">
        <v>36000</v>
      </c>
      <c r="E35" s="188">
        <v>40408</v>
      </c>
      <c r="F35" s="165">
        <v>36836</v>
      </c>
      <c r="G35" s="153">
        <v>33824</v>
      </c>
      <c r="H35" s="127">
        <v>39430</v>
      </c>
      <c r="I35" s="10">
        <v>37396</v>
      </c>
    </row>
    <row r="36" spans="1:13" x14ac:dyDescent="0.25">
      <c r="A36" s="186" t="s">
        <v>22</v>
      </c>
      <c r="B36" s="5" t="s">
        <v>119</v>
      </c>
      <c r="C36" s="210"/>
      <c r="D36" s="177"/>
      <c r="E36" s="188"/>
      <c r="F36" s="165"/>
      <c r="G36" s="153"/>
      <c r="H36" s="127"/>
      <c r="I36" s="10"/>
    </row>
    <row r="37" spans="1:13" x14ac:dyDescent="0.25">
      <c r="A37" s="186" t="str">
        <f>"3790"</f>
        <v>3790</v>
      </c>
      <c r="B37" s="5" t="s">
        <v>24</v>
      </c>
      <c r="C37" s="210"/>
      <c r="D37" s="177"/>
      <c r="E37" s="188"/>
      <c r="F37" s="165"/>
      <c r="G37" s="153"/>
      <c r="H37" s="127"/>
      <c r="I37" s="10">
        <v>6500</v>
      </c>
      <c r="M37" s="4"/>
    </row>
    <row r="38" spans="1:13" x14ac:dyDescent="0.25">
      <c r="A38" s="26"/>
      <c r="B38" s="6"/>
      <c r="C38" s="210"/>
      <c r="D38" s="177"/>
      <c r="E38" s="188"/>
      <c r="F38" s="165"/>
      <c r="G38" s="153"/>
      <c r="H38" s="127"/>
      <c r="I38" s="10"/>
    </row>
    <row r="39" spans="1:13" s="1" customFormat="1" ht="15.75" thickBot="1" x14ac:dyDescent="0.3">
      <c r="A39" s="27" t="str">
        <f>"S:a Nettoomsättning"</f>
        <v>S:a Nettoomsättning</v>
      </c>
      <c r="B39" s="14"/>
      <c r="C39" s="209">
        <f>SUM(C8:C37)</f>
        <v>374900</v>
      </c>
      <c r="D39" s="179">
        <f>SUM(D8:D38)</f>
        <v>378500</v>
      </c>
      <c r="E39" s="189">
        <f>SUM(E8:E38)</f>
        <v>473728</v>
      </c>
      <c r="F39" s="167">
        <f>SUM(F8:F37)</f>
        <v>423916.33</v>
      </c>
      <c r="G39" s="154">
        <f>SUM(G8:G37)</f>
        <v>561106</v>
      </c>
      <c r="H39" s="119">
        <f>SUM(H8:H37)</f>
        <v>423883.5</v>
      </c>
      <c r="I39" s="28">
        <f>SUM(I8:I38)</f>
        <v>459292</v>
      </c>
      <c r="M39" s="120"/>
    </row>
    <row r="40" spans="1:13" x14ac:dyDescent="0.25">
      <c r="A40" s="19"/>
      <c r="B40" s="20"/>
      <c r="C40" s="205"/>
      <c r="D40" s="180"/>
      <c r="E40" s="190"/>
      <c r="F40" s="168"/>
      <c r="G40" s="155"/>
      <c r="H40" s="128"/>
      <c r="I40" s="30"/>
    </row>
    <row r="41" spans="1:13" x14ac:dyDescent="0.25">
      <c r="A41" s="22" t="str">
        <f>"Aktiverat arbete för egen räkning"</f>
        <v>Aktiverat arbete för egen räkning</v>
      </c>
      <c r="B41" s="6"/>
      <c r="C41" s="203"/>
      <c r="D41" s="177"/>
      <c r="E41" s="188"/>
      <c r="F41" s="6"/>
      <c r="G41" s="153"/>
      <c r="H41" s="129"/>
      <c r="I41" s="10"/>
    </row>
    <row r="42" spans="1:13" x14ac:dyDescent="0.25">
      <c r="A42" s="186" t="s">
        <v>25</v>
      </c>
      <c r="B42" s="6" t="s">
        <v>26</v>
      </c>
      <c r="C42" s="210" t="s">
        <v>120</v>
      </c>
      <c r="D42" s="177"/>
      <c r="E42" s="188"/>
      <c r="F42" s="153"/>
      <c r="G42" s="153"/>
      <c r="H42" s="127">
        <v>0</v>
      </c>
      <c r="I42" s="10"/>
    </row>
    <row r="43" spans="1:13" x14ac:dyDescent="0.25">
      <c r="A43" s="186" t="str">
        <f>"3813"</f>
        <v>3813</v>
      </c>
      <c r="B43" s="5" t="s">
        <v>27</v>
      </c>
      <c r="C43" s="210">
        <v>2000</v>
      </c>
      <c r="D43" s="177">
        <v>0</v>
      </c>
      <c r="E43" s="188">
        <v>2000</v>
      </c>
      <c r="F43" s="153">
        <v>1000</v>
      </c>
      <c r="G43" s="153">
        <v>3350</v>
      </c>
      <c r="H43" s="127">
        <v>0</v>
      </c>
      <c r="I43" s="10">
        <v>2000</v>
      </c>
    </row>
    <row r="44" spans="1:13" x14ac:dyDescent="0.25">
      <c r="A44" s="187"/>
      <c r="B44" s="6"/>
      <c r="C44" s="210"/>
      <c r="D44" s="177"/>
      <c r="E44" s="188"/>
      <c r="F44" s="6"/>
      <c r="G44" s="153"/>
      <c r="H44" s="129"/>
      <c r="I44" s="10"/>
    </row>
    <row r="45" spans="1:13" s="1" customFormat="1" ht="15.75" thickBot="1" x14ac:dyDescent="0.3">
      <c r="A45" s="27" t="str">
        <f>"S:a Aktiverat arbete för egen räkning"</f>
        <v>S:a Aktiverat arbete för egen räkning</v>
      </c>
      <c r="B45" s="14"/>
      <c r="C45" s="212">
        <f>SUM(C41:C43)</f>
        <v>2000</v>
      </c>
      <c r="D45" s="179">
        <f>SUM(D42:D44)</f>
        <v>0</v>
      </c>
      <c r="E45" s="189">
        <f>SUM(E42:E44)</f>
        <v>2000</v>
      </c>
      <c r="F45" s="109">
        <f>SUM(F42:F43)</f>
        <v>1000</v>
      </c>
      <c r="G45" s="109">
        <f>SUM(G42:G43)</f>
        <v>3350</v>
      </c>
      <c r="H45" s="119">
        <f>SUM(H42:H44)</f>
        <v>0</v>
      </c>
      <c r="I45" s="28">
        <f>SUM(I42:I44)</f>
        <v>2000</v>
      </c>
    </row>
    <row r="46" spans="1:13" x14ac:dyDescent="0.25">
      <c r="A46" s="19"/>
      <c r="B46" s="20"/>
      <c r="C46" s="205"/>
      <c r="D46" s="180"/>
      <c r="E46" s="190"/>
      <c r="F46" s="168"/>
      <c r="G46" s="155"/>
      <c r="H46" s="128"/>
      <c r="I46" s="30"/>
    </row>
    <row r="47" spans="1:13" x14ac:dyDescent="0.25">
      <c r="A47" s="22" t="str">
        <f>"Övriga rörelseintäkter"</f>
        <v>Övriga rörelseintäkter</v>
      </c>
      <c r="B47" s="6"/>
      <c r="C47" s="203"/>
      <c r="D47" s="177"/>
      <c r="E47" s="188"/>
      <c r="F47" s="6"/>
      <c r="G47" s="153"/>
      <c r="H47" s="129"/>
      <c r="I47" s="10"/>
    </row>
    <row r="48" spans="1:13" x14ac:dyDescent="0.25">
      <c r="A48" s="186" t="str">
        <f>"3990"</f>
        <v>3990</v>
      </c>
      <c r="B48" s="5" t="str">
        <f>"Övr ersättn och intäkter"</f>
        <v>Övr ersättn och intäkter</v>
      </c>
      <c r="C48" s="210"/>
      <c r="D48" s="177"/>
      <c r="E48" s="188"/>
      <c r="F48" s="169">
        <v>11103</v>
      </c>
      <c r="G48" s="153"/>
      <c r="H48" s="127"/>
      <c r="I48" s="10">
        <v>5500</v>
      </c>
    </row>
    <row r="49" spans="1:61" x14ac:dyDescent="0.25">
      <c r="A49" s="186" t="str">
        <f>"3991"</f>
        <v>3991</v>
      </c>
      <c r="B49" s="5" t="str">
        <f>"Team Porto"</f>
        <v>Team Porto</v>
      </c>
      <c r="C49" s="210"/>
      <c r="D49" s="177"/>
      <c r="E49" s="188"/>
      <c r="F49" s="169"/>
      <c r="G49" s="153"/>
      <c r="H49" s="127"/>
      <c r="I49" s="10">
        <v>0</v>
      </c>
    </row>
    <row r="50" spans="1:61" x14ac:dyDescent="0.25">
      <c r="A50" s="186" t="str">
        <f>"3992"</f>
        <v>3992</v>
      </c>
      <c r="B50" s="5" t="s">
        <v>28</v>
      </c>
      <c r="C50" s="210"/>
      <c r="D50" s="177"/>
      <c r="E50" s="188"/>
      <c r="F50" s="169"/>
      <c r="G50" s="153"/>
      <c r="H50" s="127"/>
      <c r="I50" s="10">
        <v>6160</v>
      </c>
    </row>
    <row r="51" spans="1:61" x14ac:dyDescent="0.25">
      <c r="A51" s="187">
        <v>3680</v>
      </c>
      <c r="B51" s="6" t="s">
        <v>29</v>
      </c>
      <c r="C51" s="210"/>
      <c r="D51" s="177"/>
      <c r="E51" s="188"/>
      <c r="F51" s="169"/>
      <c r="G51" s="153"/>
      <c r="H51" s="129"/>
      <c r="I51" s="10"/>
    </row>
    <row r="52" spans="1:61" s="1" customFormat="1" ht="15.75" thickBot="1" x14ac:dyDescent="0.3">
      <c r="A52" s="27" t="str">
        <f>"S:a Övriga rörelseintäkter"</f>
        <v>S:a Övriga rörelseintäkter</v>
      </c>
      <c r="B52" s="14"/>
      <c r="C52" s="212">
        <f>SUM(C48:C51)</f>
        <v>0</v>
      </c>
      <c r="D52" s="179">
        <f>SUM(D48:D51)</f>
        <v>0</v>
      </c>
      <c r="E52" s="189">
        <f>SUM(E48:E51)</f>
        <v>0</v>
      </c>
      <c r="F52" s="170">
        <f>SUM(F48:F51)</f>
        <v>11103</v>
      </c>
      <c r="G52" s="109">
        <f>SUM(G48:G51)</f>
        <v>0</v>
      </c>
      <c r="H52" s="119">
        <f t="shared" ref="H52:I52" si="0">SUM(H48:H51)</f>
        <v>0</v>
      </c>
      <c r="I52" s="28">
        <f t="shared" si="0"/>
        <v>11660</v>
      </c>
    </row>
    <row r="53" spans="1:61" x14ac:dyDescent="0.25">
      <c r="A53" s="19"/>
      <c r="B53" s="20"/>
      <c r="C53" s="205"/>
      <c r="D53" s="180"/>
      <c r="E53" s="190"/>
      <c r="F53" s="168"/>
      <c r="G53" s="155"/>
      <c r="H53" s="128"/>
      <c r="I53" s="30"/>
    </row>
    <row r="54" spans="1:61" x14ac:dyDescent="0.25">
      <c r="A54" s="26"/>
      <c r="B54" s="6"/>
      <c r="C54" s="203"/>
      <c r="D54" s="177"/>
      <c r="E54" s="188"/>
      <c r="F54" s="6"/>
      <c r="G54" s="153"/>
      <c r="H54" s="129"/>
      <c r="I54" s="10"/>
    </row>
    <row r="55" spans="1:61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47">
        <f>SUM(C39+C45+C52)</f>
        <v>376900</v>
      </c>
      <c r="D55" s="163">
        <f>D39+D45+D52</f>
        <v>378500</v>
      </c>
      <c r="E55" s="163">
        <f>E39+E45+E52</f>
        <v>475728</v>
      </c>
      <c r="F55" s="147">
        <f>F39+F45+F52</f>
        <v>436019.33</v>
      </c>
      <c r="G55" s="112">
        <f>G39+G45+G52</f>
        <v>564456</v>
      </c>
      <c r="H55" s="111">
        <f t="shared" ref="H55:I55" si="1">H39+H45+H52</f>
        <v>423883.5</v>
      </c>
      <c r="I55" s="34">
        <f t="shared" si="1"/>
        <v>472952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5">
      <c r="A56" s="19"/>
      <c r="B56" s="20"/>
      <c r="C56" s="205"/>
      <c r="D56" s="180"/>
      <c r="E56" s="190"/>
      <c r="F56" s="168"/>
      <c r="G56" s="155"/>
      <c r="H56" s="128"/>
      <c r="I56" s="30"/>
    </row>
    <row r="57" spans="1:61" x14ac:dyDescent="0.25">
      <c r="A57" s="22" t="str">
        <f>"Rörelsens kostnader"</f>
        <v>Rörelsens kostnader</v>
      </c>
      <c r="B57" s="6"/>
      <c r="C57" s="203"/>
      <c r="D57" s="177"/>
      <c r="E57" s="188"/>
      <c r="F57" s="6"/>
      <c r="G57" s="153"/>
      <c r="H57" s="129"/>
      <c r="I57" s="10"/>
    </row>
    <row r="58" spans="1:61" x14ac:dyDescent="0.25">
      <c r="A58" s="22" t="str">
        <f>"Råvaror och förnödenheter mm"</f>
        <v>Råvaror och förnödenheter mm</v>
      </c>
      <c r="B58" s="6"/>
      <c r="C58" s="203"/>
      <c r="D58" s="177"/>
      <c r="E58" s="188"/>
      <c r="F58" s="6"/>
      <c r="G58" s="153"/>
      <c r="H58" s="129"/>
      <c r="I58" s="10"/>
    </row>
    <row r="59" spans="1:61" x14ac:dyDescent="0.25">
      <c r="A59" s="24"/>
      <c r="B59" s="5"/>
      <c r="C59" s="204"/>
      <c r="D59" s="177"/>
      <c r="E59" s="188"/>
      <c r="F59" s="171"/>
      <c r="G59" s="153"/>
      <c r="H59" s="127"/>
      <c r="I59" s="56"/>
    </row>
    <row r="60" spans="1:61" x14ac:dyDescent="0.25">
      <c r="A60" s="24" t="str">
        <f>"4011"</f>
        <v>4011</v>
      </c>
      <c r="B60" s="5" t="str">
        <f>"Anmälningsavgifter"</f>
        <v>Anmälningsavgifter</v>
      </c>
      <c r="C60" s="210">
        <v>-32000</v>
      </c>
      <c r="D60" s="177">
        <v>-25000</v>
      </c>
      <c r="E60" s="188">
        <v>-32651</v>
      </c>
      <c r="F60" s="171">
        <v>-22460</v>
      </c>
      <c r="G60" s="153">
        <v>-38723</v>
      </c>
      <c r="H60" s="127">
        <v>-44933</v>
      </c>
      <c r="I60" s="10">
        <v>-34575</v>
      </c>
    </row>
    <row r="61" spans="1:61" x14ac:dyDescent="0.25">
      <c r="A61" s="24" t="str">
        <f>"4012"</f>
        <v>4012</v>
      </c>
      <c r="B61" s="5" t="str">
        <f>"transportkostnader"</f>
        <v>transportkostnader</v>
      </c>
      <c r="C61" s="210">
        <v>-8000</v>
      </c>
      <c r="D61" s="177">
        <v>-4000</v>
      </c>
      <c r="E61" s="188">
        <v>-4867</v>
      </c>
      <c r="F61" s="171">
        <v>-3587.5</v>
      </c>
      <c r="G61" s="153">
        <v>-3897.5</v>
      </c>
      <c r="H61" s="127">
        <v>-10378</v>
      </c>
      <c r="I61" s="10">
        <v>-2091</v>
      </c>
    </row>
    <row r="62" spans="1:61" x14ac:dyDescent="0.25">
      <c r="A62" s="24" t="str">
        <f>"4013"</f>
        <v>4013</v>
      </c>
      <c r="B62" s="5" t="str">
        <f>"Kost och logi under tävlingar"</f>
        <v>Kost och logi under tävlingar</v>
      </c>
      <c r="C62" s="210"/>
      <c r="D62" s="177"/>
      <c r="E62" s="188">
        <v>-11800</v>
      </c>
      <c r="F62" s="171">
        <v>-5360</v>
      </c>
      <c r="G62" s="153">
        <v>-12490</v>
      </c>
      <c r="H62" s="127">
        <v>-3540</v>
      </c>
      <c r="I62" s="10">
        <v>-13460</v>
      </c>
    </row>
    <row r="63" spans="1:61" x14ac:dyDescent="0.25">
      <c r="A63" s="24" t="str">
        <f>"4014"</f>
        <v>4014</v>
      </c>
      <c r="B63" s="5" t="str">
        <f>"Övriga tävlingskostnader"</f>
        <v>Övriga tävlingskostnader</v>
      </c>
      <c r="C63" s="210"/>
      <c r="D63" s="177"/>
      <c r="E63" s="188">
        <v>-3114</v>
      </c>
      <c r="F63" s="171"/>
      <c r="G63" s="153"/>
      <c r="H63" s="127"/>
      <c r="I63" s="10">
        <v>-2255</v>
      </c>
    </row>
    <row r="64" spans="1:61" x14ac:dyDescent="0.25">
      <c r="A64" s="24" t="str">
        <f>"4020"</f>
        <v>4020</v>
      </c>
      <c r="B64" s="5" t="str">
        <f>"Lägerkostnader"</f>
        <v>Lägerkostnader</v>
      </c>
      <c r="C64" s="210">
        <v>-10000</v>
      </c>
      <c r="D64" s="177">
        <v>-8000</v>
      </c>
      <c r="E64" s="188">
        <v>-8784</v>
      </c>
      <c r="F64" s="171">
        <v>-2060</v>
      </c>
      <c r="G64" s="153">
        <v>-1526</v>
      </c>
      <c r="H64" s="127">
        <v>-4627</v>
      </c>
      <c r="I64" s="56">
        <v>-8872</v>
      </c>
    </row>
    <row r="65" spans="1:14" x14ac:dyDescent="0.25">
      <c r="A65" s="24" t="str">
        <f>"4021"</f>
        <v>4021</v>
      </c>
      <c r="B65" s="5" t="str">
        <f>"Anmälningsavgifter, Läger"</f>
        <v>Anmälningsavgifter, Läger</v>
      </c>
      <c r="C65" s="210"/>
      <c r="D65" s="177"/>
      <c r="E65" s="188"/>
      <c r="F65" s="171"/>
      <c r="G65" s="153"/>
      <c r="H65" s="127"/>
      <c r="I65" s="10"/>
    </row>
    <row r="66" spans="1:14" x14ac:dyDescent="0.25">
      <c r="A66" s="24" t="str">
        <f>"4022"</f>
        <v>4022</v>
      </c>
      <c r="B66" s="5" t="str">
        <f>"Transportkostnader, Läger"</f>
        <v>Transportkostnader, Läger</v>
      </c>
      <c r="C66" s="210"/>
      <c r="D66" s="177"/>
      <c r="E66" s="188"/>
      <c r="F66" s="171"/>
      <c r="G66" s="153"/>
      <c r="H66" s="127"/>
      <c r="I66" s="10"/>
    </row>
    <row r="67" spans="1:14" x14ac:dyDescent="0.25">
      <c r="A67" s="24" t="s">
        <v>30</v>
      </c>
      <c r="B67" s="5" t="s">
        <v>31</v>
      </c>
      <c r="C67" s="210"/>
      <c r="D67" s="177"/>
      <c r="E67" s="188"/>
      <c r="F67" s="171">
        <v>-1700</v>
      </c>
      <c r="G67" s="153"/>
      <c r="H67" s="127"/>
      <c r="I67" s="10"/>
    </row>
    <row r="68" spans="1:14" x14ac:dyDescent="0.25">
      <c r="A68" s="24" t="str">
        <f>"4024"</f>
        <v>4024</v>
      </c>
      <c r="B68" s="5" t="str">
        <f>"SM läger"</f>
        <v>SM läger</v>
      </c>
      <c r="C68" s="210">
        <v>-45000</v>
      </c>
      <c r="D68" s="177">
        <v>-40000</v>
      </c>
      <c r="E68" s="188">
        <v>-43666</v>
      </c>
      <c r="F68" s="171">
        <v>-33695</v>
      </c>
      <c r="G68" s="153">
        <v>-16960</v>
      </c>
      <c r="H68" s="127">
        <v>-22174</v>
      </c>
      <c r="I68" s="10">
        <v>-28215</v>
      </c>
    </row>
    <row r="69" spans="1:14" x14ac:dyDescent="0.25">
      <c r="A69" s="24" t="s">
        <v>32</v>
      </c>
      <c r="B69" s="5" t="s">
        <v>33</v>
      </c>
      <c r="C69" s="210">
        <v>-40000</v>
      </c>
      <c r="D69" s="177">
        <v>-40000</v>
      </c>
      <c r="E69" s="188">
        <v>-35043</v>
      </c>
      <c r="F69" s="171">
        <v>-51908</v>
      </c>
      <c r="G69" s="153">
        <v>-68237</v>
      </c>
      <c r="H69" s="127">
        <v>-44493</v>
      </c>
      <c r="I69" s="10">
        <v>-56047</v>
      </c>
    </row>
    <row r="70" spans="1:14" x14ac:dyDescent="0.25">
      <c r="A70" s="24" t="str">
        <f>"4110"</f>
        <v>4110</v>
      </c>
      <c r="B70" s="5" t="str">
        <f>"Kostnader Kanotskolan"</f>
        <v>Kostnader Kanotskolan</v>
      </c>
      <c r="C70" s="210">
        <v>-15000</v>
      </c>
      <c r="D70" s="177">
        <v>-20000</v>
      </c>
      <c r="E70" s="188">
        <v>-12819.4</v>
      </c>
      <c r="F70" s="171">
        <v>-14874</v>
      </c>
      <c r="G70" s="153">
        <v>-18212</v>
      </c>
      <c r="H70" s="127">
        <v>-8052</v>
      </c>
      <c r="I70" s="10">
        <v>-10761</v>
      </c>
    </row>
    <row r="71" spans="1:14" x14ac:dyDescent="0.25">
      <c r="A71" s="24" t="s">
        <v>34</v>
      </c>
      <c r="B71" s="5" t="s">
        <v>35</v>
      </c>
      <c r="C71" s="210">
        <v>-4000</v>
      </c>
      <c r="D71" s="177">
        <v>-5000</v>
      </c>
      <c r="E71" s="188">
        <v>-3200</v>
      </c>
      <c r="F71" s="171">
        <v>-4100</v>
      </c>
      <c r="G71" s="153">
        <v>-10300</v>
      </c>
      <c r="H71" s="127">
        <v>-3600</v>
      </c>
      <c r="I71" s="10"/>
    </row>
    <row r="72" spans="1:14" x14ac:dyDescent="0.25">
      <c r="A72" s="24" t="str">
        <f>"4120"</f>
        <v>4120</v>
      </c>
      <c r="B72" s="5" t="str">
        <f>"Kostnad ungdomsverksamhet"</f>
        <v>Kostnad ungdomsverksamhet</v>
      </c>
      <c r="C72" s="210">
        <v>-20000</v>
      </c>
      <c r="D72" s="177">
        <v>-15000</v>
      </c>
      <c r="E72" s="188">
        <v>-20082.7</v>
      </c>
      <c r="F72" s="171">
        <v>-15443</v>
      </c>
      <c r="G72" s="153">
        <v>-10865</v>
      </c>
      <c r="H72" s="127">
        <v>-6599</v>
      </c>
      <c r="I72" s="10">
        <v>-11010</v>
      </c>
    </row>
    <row r="73" spans="1:14" x14ac:dyDescent="0.25">
      <c r="A73" s="24" t="s">
        <v>36</v>
      </c>
      <c r="B73" s="5" t="s">
        <v>37</v>
      </c>
      <c r="C73" s="210"/>
      <c r="D73" s="177">
        <v>-20000</v>
      </c>
      <c r="E73" s="188">
        <v>-10144</v>
      </c>
      <c r="F73" s="171"/>
      <c r="G73" s="153"/>
      <c r="H73" s="127"/>
      <c r="I73" s="10"/>
    </row>
    <row r="74" spans="1:14" x14ac:dyDescent="0.25">
      <c r="A74" s="24" t="str">
        <f>"4220"</f>
        <v>4220</v>
      </c>
      <c r="B74" s="5" t="s">
        <v>38</v>
      </c>
      <c r="C74" s="210">
        <v>-150000</v>
      </c>
      <c r="D74" s="177">
        <v>-82000</v>
      </c>
      <c r="E74" s="188">
        <v>-155862.54999999999</v>
      </c>
      <c r="F74" s="171">
        <v>-117887.33</v>
      </c>
      <c r="G74" s="153">
        <v>-72611.98</v>
      </c>
      <c r="H74" s="127">
        <v>-83127</v>
      </c>
      <c r="I74" s="10">
        <v>-33278</v>
      </c>
      <c r="J74" s="161"/>
      <c r="K74" s="162"/>
      <c r="L74" s="162"/>
      <c r="M74" s="162"/>
      <c r="N74" s="4"/>
    </row>
    <row r="75" spans="1:14" x14ac:dyDescent="0.25">
      <c r="A75" s="24" t="s">
        <v>39</v>
      </c>
      <c r="B75" s="5" t="s">
        <v>40</v>
      </c>
      <c r="C75" s="210"/>
      <c r="D75" s="177"/>
      <c r="E75" s="188"/>
      <c r="F75" s="171">
        <v>-2000</v>
      </c>
      <c r="G75" s="153">
        <v>-16508</v>
      </c>
      <c r="H75" s="127">
        <v>-21032</v>
      </c>
      <c r="I75" s="10">
        <v>-3618</v>
      </c>
    </row>
    <row r="76" spans="1:14" x14ac:dyDescent="0.25">
      <c r="A76" s="24" t="s">
        <v>41</v>
      </c>
      <c r="B76" s="5" t="s">
        <v>42</v>
      </c>
      <c r="C76" s="210"/>
      <c r="D76" s="177"/>
      <c r="E76" s="188"/>
      <c r="F76" s="171"/>
      <c r="G76" s="153">
        <v>-11300</v>
      </c>
      <c r="H76" s="127"/>
      <c r="I76" s="10"/>
    </row>
    <row r="77" spans="1:14" x14ac:dyDescent="0.25">
      <c r="A77" s="24" t="str">
        <f>"4610"</f>
        <v>4610</v>
      </c>
      <c r="B77" s="5" t="str">
        <f>"Mötesverksamhet"</f>
        <v>Mötesverksamhet</v>
      </c>
      <c r="C77" s="210">
        <v>-6000</v>
      </c>
      <c r="D77" s="177">
        <v>-8000</v>
      </c>
      <c r="E77" s="188">
        <v>-4700</v>
      </c>
      <c r="F77" s="171">
        <v>-8029</v>
      </c>
      <c r="G77" s="153">
        <v>-663</v>
      </c>
      <c r="H77" s="127">
        <v>-223</v>
      </c>
      <c r="I77" s="99">
        <v>-1906</v>
      </c>
    </row>
    <row r="78" spans="1:14" x14ac:dyDescent="0.25">
      <c r="A78" s="24" t="s">
        <v>43</v>
      </c>
      <c r="B78" s="5" t="s">
        <v>44</v>
      </c>
      <c r="C78" s="210"/>
      <c r="D78" s="177"/>
      <c r="E78" s="188"/>
      <c r="F78" s="171"/>
      <c r="G78" s="153"/>
      <c r="H78" s="127"/>
      <c r="I78" s="10">
        <v>-10840</v>
      </c>
    </row>
    <row r="79" spans="1:14" x14ac:dyDescent="0.25">
      <c r="A79" s="24" t="str">
        <f>"4710"</f>
        <v>4710</v>
      </c>
      <c r="B79" s="5" t="str">
        <f>"Märken och priser"</f>
        <v>Märken och priser</v>
      </c>
      <c r="C79" s="210">
        <v>-4000</v>
      </c>
      <c r="D79" s="177">
        <v>-4000</v>
      </c>
      <c r="E79" s="188">
        <v>-4127</v>
      </c>
      <c r="F79" s="171">
        <v>-3630</v>
      </c>
      <c r="G79" s="153">
        <v>-3710</v>
      </c>
      <c r="H79" s="127">
        <v>-6310</v>
      </c>
      <c r="I79" s="10">
        <v>-3790</v>
      </c>
    </row>
    <row r="80" spans="1:14" x14ac:dyDescent="0.25">
      <c r="A80" s="24" t="str">
        <f>"4800"</f>
        <v>4800</v>
      </c>
      <c r="B80" s="5" t="str">
        <f>"Medlemmarnas pengar"</f>
        <v>Medlemmarnas pengar</v>
      </c>
      <c r="C80" s="210"/>
      <c r="D80" s="177"/>
      <c r="E80" s="188"/>
      <c r="F80" s="171"/>
      <c r="G80" s="153"/>
      <c r="H80" s="127"/>
      <c r="I80" s="10"/>
    </row>
    <row r="81" spans="1:9" x14ac:dyDescent="0.25">
      <c r="A81" s="26"/>
      <c r="B81" s="6"/>
      <c r="C81" s="210"/>
      <c r="D81" s="177"/>
      <c r="E81" s="188"/>
      <c r="F81" s="6"/>
      <c r="G81" s="153"/>
      <c r="H81" s="129"/>
      <c r="I81" s="10"/>
    </row>
    <row r="82" spans="1:9" s="1" customFormat="1" ht="15.75" thickBot="1" x14ac:dyDescent="0.3">
      <c r="A82" s="27" t="str">
        <f>"S:a Råvaror och förnödenheter mm"</f>
        <v>S:a Råvaror och förnödenheter mm</v>
      </c>
      <c r="B82" s="14"/>
      <c r="C82" s="212">
        <f>SUM(C60:C80)</f>
        <v>-334000</v>
      </c>
      <c r="D82" s="179">
        <f>SUM(D59:D80)</f>
        <v>-271000</v>
      </c>
      <c r="E82" s="189">
        <f>SUM(E59:E80)</f>
        <v>-350860.65</v>
      </c>
      <c r="F82" s="170">
        <f>SUM(F59:F80)</f>
        <v>-286733.83</v>
      </c>
      <c r="G82" s="109">
        <f>SUM(G59:G80)</f>
        <v>-286003.48</v>
      </c>
      <c r="H82" s="119">
        <f>SUM(H59:H80)</f>
        <v>-259088</v>
      </c>
      <c r="I82" s="55">
        <f>SUM(I59:I81)</f>
        <v>-220718</v>
      </c>
    </row>
    <row r="83" spans="1:9" x14ac:dyDescent="0.25">
      <c r="A83" s="19"/>
      <c r="B83" s="20"/>
      <c r="C83" s="205"/>
      <c r="D83" s="180"/>
      <c r="E83" s="190"/>
      <c r="F83" s="168"/>
      <c r="G83" s="155"/>
      <c r="H83" s="128"/>
      <c r="I83" s="30"/>
    </row>
    <row r="84" spans="1:9" x14ac:dyDescent="0.25">
      <c r="A84" s="26"/>
      <c r="B84" s="6"/>
      <c r="C84" s="203"/>
      <c r="D84" s="177"/>
      <c r="E84" s="188"/>
      <c r="F84" s="6"/>
      <c r="G84" s="153"/>
      <c r="H84" s="129"/>
      <c r="I84" s="10"/>
    </row>
    <row r="85" spans="1:9" s="1" customFormat="1" ht="15.75" thickBot="1" x14ac:dyDescent="0.3">
      <c r="A85" s="27" t="str">
        <f>"Bruttovinst"</f>
        <v>Bruttovinst</v>
      </c>
      <c r="B85" s="14"/>
      <c r="C85" s="213"/>
      <c r="D85" s="179">
        <f>D55+D82</f>
        <v>107500</v>
      </c>
      <c r="E85" s="189">
        <f t="shared" ref="E85:I85" si="2">E55+E82</f>
        <v>124867.34999999998</v>
      </c>
      <c r="F85" s="167">
        <f t="shared" si="2"/>
        <v>149285.5</v>
      </c>
      <c r="G85" s="154">
        <f t="shared" si="2"/>
        <v>278452.52</v>
      </c>
      <c r="H85" s="119">
        <f t="shared" si="2"/>
        <v>164795.5</v>
      </c>
      <c r="I85" s="28">
        <f t="shared" si="2"/>
        <v>252234</v>
      </c>
    </row>
    <row r="86" spans="1:9" x14ac:dyDescent="0.25">
      <c r="A86" s="19"/>
      <c r="B86" s="20"/>
      <c r="C86" s="205"/>
      <c r="D86" s="180"/>
      <c r="E86" s="190"/>
      <c r="F86" s="168"/>
      <c r="G86" s="155"/>
      <c r="H86" s="128"/>
      <c r="I86" s="30"/>
    </row>
    <row r="87" spans="1:9" x14ac:dyDescent="0.25">
      <c r="A87" s="22" t="str">
        <f>"Övriga externa kostnader"</f>
        <v>Övriga externa kostnader</v>
      </c>
      <c r="B87" s="6"/>
      <c r="C87" s="203"/>
      <c r="D87" s="177"/>
      <c r="E87" s="188"/>
      <c r="F87" s="6"/>
      <c r="G87" s="153"/>
      <c r="H87" s="129"/>
      <c r="I87" s="10"/>
    </row>
    <row r="88" spans="1:9" x14ac:dyDescent="0.25">
      <c r="A88" s="24" t="str">
        <f>"5110"</f>
        <v>5110</v>
      </c>
      <c r="B88" s="5" t="str">
        <f>"Arrende"</f>
        <v>Arrende</v>
      </c>
      <c r="C88" s="210">
        <v>-4000</v>
      </c>
      <c r="D88" s="177">
        <v>-4000</v>
      </c>
      <c r="E88" s="188">
        <v>-4004</v>
      </c>
      <c r="F88" s="171">
        <v>-4000</v>
      </c>
      <c r="G88" s="153">
        <v>-1643</v>
      </c>
      <c r="H88" s="127">
        <v>-1643</v>
      </c>
      <c r="I88" s="10">
        <v>-1637</v>
      </c>
    </row>
    <row r="89" spans="1:9" x14ac:dyDescent="0.25">
      <c r="A89" s="24" t="str">
        <f>"5120"</f>
        <v>5120</v>
      </c>
      <c r="B89" s="5" t="str">
        <f>"Elektricitet"</f>
        <v>Elektricitet</v>
      </c>
      <c r="C89" s="210">
        <v>-25000</v>
      </c>
      <c r="D89" s="177">
        <v>-25000</v>
      </c>
      <c r="E89" s="188">
        <v>-15738</v>
      </c>
      <c r="F89" s="171">
        <v>-21431</v>
      </c>
      <c r="G89" s="153">
        <v>-24526</v>
      </c>
      <c r="H89" s="127">
        <v>-28939</v>
      </c>
      <c r="I89" s="10">
        <v>-21334</v>
      </c>
    </row>
    <row r="90" spans="1:9" x14ac:dyDescent="0.25">
      <c r="A90" s="24" t="str">
        <f>"5140"</f>
        <v>5140</v>
      </c>
      <c r="B90" s="5" t="str">
        <f>"Vatten och sophämtning"</f>
        <v>Vatten och sophämtning</v>
      </c>
      <c r="C90" s="210">
        <v>-7000</v>
      </c>
      <c r="D90" s="177">
        <v>-6500</v>
      </c>
      <c r="E90" s="188">
        <v>-4833</v>
      </c>
      <c r="F90" s="171">
        <v>-6464</v>
      </c>
      <c r="G90" s="153">
        <v>-5849</v>
      </c>
      <c r="H90" s="127">
        <v>-6178</v>
      </c>
      <c r="I90" s="10">
        <v>-6077</v>
      </c>
    </row>
    <row r="91" spans="1:9" x14ac:dyDescent="0.25">
      <c r="A91" s="24" t="s">
        <v>45</v>
      </c>
      <c r="B91" s="5" t="s">
        <v>46</v>
      </c>
      <c r="C91" s="210">
        <v>-4000</v>
      </c>
      <c r="D91" s="177">
        <v>-4000</v>
      </c>
      <c r="E91" s="188"/>
      <c r="F91" s="171">
        <v>-8039.38</v>
      </c>
      <c r="G91" s="153"/>
      <c r="H91" s="127"/>
      <c r="I91" s="10"/>
    </row>
    <row r="92" spans="1:9" x14ac:dyDescent="0.25">
      <c r="A92" s="24" t="str">
        <f>"5170"</f>
        <v>5170</v>
      </c>
      <c r="B92" s="5" t="str">
        <f>"Fastighetsunderhåll"</f>
        <v>Fastighetsunderhåll</v>
      </c>
      <c r="C92" s="210">
        <v>-100000</v>
      </c>
      <c r="D92" s="177">
        <v>-50000</v>
      </c>
      <c r="E92" s="188">
        <v>-1287</v>
      </c>
      <c r="F92" s="171">
        <v>-5540.5</v>
      </c>
      <c r="G92" s="153">
        <v>-18240</v>
      </c>
      <c r="H92" s="127">
        <v>-53805</v>
      </c>
      <c r="I92" s="10">
        <v>-3691</v>
      </c>
    </row>
    <row r="93" spans="1:9" x14ac:dyDescent="0.25">
      <c r="A93" s="24" t="s">
        <v>47</v>
      </c>
      <c r="B93" s="5" t="s">
        <v>48</v>
      </c>
      <c r="C93" s="210"/>
      <c r="D93" s="177"/>
      <c r="E93" s="188"/>
      <c r="F93" s="171">
        <v>-4006</v>
      </c>
      <c r="G93" s="153">
        <v>-61624.5</v>
      </c>
      <c r="H93" s="127"/>
      <c r="I93" s="10">
        <v>-4528</v>
      </c>
    </row>
    <row r="94" spans="1:9" x14ac:dyDescent="0.25">
      <c r="A94" s="24" t="str">
        <f>"5410"</f>
        <v>5410</v>
      </c>
      <c r="B94" s="5" t="str">
        <f>"Förbrukningsinventarier"</f>
        <v>Förbrukningsinventarier</v>
      </c>
      <c r="C94" s="210">
        <v>-60000</v>
      </c>
      <c r="D94" s="177">
        <v>-62000</v>
      </c>
      <c r="E94" s="188">
        <v>-13444</v>
      </c>
      <c r="F94" s="171">
        <v>-1795</v>
      </c>
      <c r="G94" s="153">
        <v>-1038</v>
      </c>
      <c r="H94" s="127">
        <v>-1675</v>
      </c>
      <c r="I94" s="10">
        <v>-992</v>
      </c>
    </row>
    <row r="95" spans="1:9" x14ac:dyDescent="0.25">
      <c r="A95" s="24" t="str">
        <f>"5420"</f>
        <v>5420</v>
      </c>
      <c r="B95" s="5" t="str">
        <f>"Programvaror"</f>
        <v>Programvaror</v>
      </c>
      <c r="C95" s="210"/>
      <c r="D95" s="177">
        <v>-1500</v>
      </c>
      <c r="E95" s="188"/>
      <c r="F95" s="171"/>
      <c r="G95" s="153">
        <v>-1265</v>
      </c>
      <c r="H95" s="127">
        <v>-1200</v>
      </c>
      <c r="I95" s="10">
        <v>-1135</v>
      </c>
    </row>
    <row r="96" spans="1:9" x14ac:dyDescent="0.25">
      <c r="A96" s="24" t="s">
        <v>49</v>
      </c>
      <c r="B96" s="5" t="s">
        <v>50</v>
      </c>
      <c r="C96" s="210">
        <v>-3000</v>
      </c>
      <c r="D96" s="177">
        <v>-4000</v>
      </c>
      <c r="E96" s="188">
        <v>-1616</v>
      </c>
      <c r="F96" s="171">
        <v>-3556</v>
      </c>
      <c r="G96" s="153"/>
      <c r="H96" s="127"/>
      <c r="I96" s="10"/>
    </row>
    <row r="97" spans="1:9" x14ac:dyDescent="0.25">
      <c r="A97" s="24" t="str">
        <f>"5500"</f>
        <v>5500</v>
      </c>
      <c r="B97" s="5" t="str">
        <f>"Kanotunderhåll"</f>
        <v>Kanotunderhåll</v>
      </c>
      <c r="C97" s="210">
        <v>-6000</v>
      </c>
      <c r="D97" s="177">
        <v>-5000</v>
      </c>
      <c r="E97" s="188"/>
      <c r="F97" s="171">
        <v>-2258</v>
      </c>
      <c r="G97" s="153">
        <v>-4670</v>
      </c>
      <c r="H97" s="127">
        <v>-1400</v>
      </c>
      <c r="I97" s="10">
        <v>-1823</v>
      </c>
    </row>
    <row r="98" spans="1:9" x14ac:dyDescent="0.25">
      <c r="A98" s="24" t="str">
        <f>"5611"</f>
        <v>5611</v>
      </c>
      <c r="B98" s="5" t="s">
        <v>51</v>
      </c>
      <c r="C98" s="210">
        <v>-1500</v>
      </c>
      <c r="D98" s="177">
        <v>-4000</v>
      </c>
      <c r="E98" s="188">
        <v>-875</v>
      </c>
      <c r="F98" s="171">
        <v>-1569</v>
      </c>
      <c r="G98" s="153">
        <v>-573</v>
      </c>
      <c r="H98" s="127">
        <v>-1867</v>
      </c>
      <c r="I98" s="10">
        <v>-664</v>
      </c>
    </row>
    <row r="99" spans="1:9" x14ac:dyDescent="0.25">
      <c r="A99" s="24" t="str">
        <f>"5612"</f>
        <v>5612</v>
      </c>
      <c r="B99" s="5" t="str">
        <f>"Försäkring"</f>
        <v>Försäkring</v>
      </c>
      <c r="C99" s="210">
        <v>-30000</v>
      </c>
      <c r="D99" s="177">
        <v>-29000</v>
      </c>
      <c r="E99" s="188">
        <v>-7266</v>
      </c>
      <c r="F99" s="171">
        <v>-28098</v>
      </c>
      <c r="G99" s="153">
        <v>-27736</v>
      </c>
      <c r="H99" s="127">
        <v>-43706</v>
      </c>
      <c r="I99" s="10">
        <v>-36936</v>
      </c>
    </row>
    <row r="100" spans="1:9" x14ac:dyDescent="0.25">
      <c r="A100" s="24" t="s">
        <v>52</v>
      </c>
      <c r="B100" s="5" t="s">
        <v>53</v>
      </c>
      <c r="C100" s="210">
        <v>-1000</v>
      </c>
      <c r="D100" s="177">
        <v>-1000</v>
      </c>
      <c r="E100" s="188"/>
      <c r="F100" s="171">
        <v>-4371</v>
      </c>
      <c r="G100" s="153"/>
      <c r="H100" s="127">
        <v>-400</v>
      </c>
      <c r="I100" s="10"/>
    </row>
    <row r="101" spans="1:9" x14ac:dyDescent="0.25">
      <c r="A101" s="24"/>
      <c r="B101" s="5"/>
      <c r="C101" s="210"/>
      <c r="D101" s="177"/>
      <c r="E101" s="188"/>
      <c r="F101" s="171"/>
      <c r="G101" s="153">
        <v>-315</v>
      </c>
      <c r="H101" s="127"/>
      <c r="I101" s="10">
        <v>-8985</v>
      </c>
    </row>
    <row r="102" spans="1:9" x14ac:dyDescent="0.25">
      <c r="A102" s="24" t="str">
        <f>"5620"</f>
        <v>5620</v>
      </c>
      <c r="B102" s="5" t="s">
        <v>54</v>
      </c>
      <c r="C102" s="210">
        <v>-3000</v>
      </c>
      <c r="D102" s="177">
        <v>-5000</v>
      </c>
      <c r="E102" s="188">
        <v>-2295</v>
      </c>
      <c r="F102" s="171">
        <v>-8015</v>
      </c>
      <c r="G102" s="153">
        <v>-1476</v>
      </c>
      <c r="H102" s="127">
        <v>-1721</v>
      </c>
      <c r="I102" s="10"/>
    </row>
    <row r="103" spans="1:9" x14ac:dyDescent="0.25">
      <c r="A103" s="24" t="s">
        <v>55</v>
      </c>
      <c r="B103" s="5" t="s">
        <v>56</v>
      </c>
      <c r="C103" s="210"/>
      <c r="D103" s="177"/>
      <c r="E103" s="188"/>
      <c r="F103" s="171"/>
      <c r="G103" s="153"/>
      <c r="H103" s="127"/>
      <c r="I103" s="10">
        <v>-31345</v>
      </c>
    </row>
    <row r="104" spans="1:9" x14ac:dyDescent="0.25">
      <c r="A104" s="24" t="str">
        <f>"6110"</f>
        <v>6110</v>
      </c>
      <c r="B104" s="5" t="str">
        <f>"Kontorsmaterial"</f>
        <v>Kontorsmaterial</v>
      </c>
      <c r="C104" s="210">
        <v>-1000</v>
      </c>
      <c r="D104" s="177">
        <v>-2000</v>
      </c>
      <c r="E104" s="188">
        <v>-148</v>
      </c>
      <c r="F104" s="171">
        <v>-1733</v>
      </c>
      <c r="G104" s="153">
        <v>-138</v>
      </c>
      <c r="H104" s="127">
        <v>-115</v>
      </c>
      <c r="I104" s="10">
        <v>-1193</v>
      </c>
    </row>
    <row r="105" spans="1:9" x14ac:dyDescent="0.25">
      <c r="A105" s="24" t="str">
        <f>"6210"</f>
        <v>6210</v>
      </c>
      <c r="B105" s="5" t="str">
        <f>"Telefon"</f>
        <v>Telefon</v>
      </c>
      <c r="C105" s="210"/>
      <c r="D105" s="177">
        <v>0</v>
      </c>
      <c r="E105" s="188"/>
      <c r="F105" s="171"/>
      <c r="G105" s="153">
        <v>-440</v>
      </c>
      <c r="H105" s="127">
        <v>-1928</v>
      </c>
      <c r="I105" s="10">
        <v>-2045</v>
      </c>
    </row>
    <row r="106" spans="1:9" x14ac:dyDescent="0.25">
      <c r="A106" s="24" t="str">
        <f>"6250"</f>
        <v>6250</v>
      </c>
      <c r="B106" s="5" t="str">
        <f>"Porto"</f>
        <v>Porto</v>
      </c>
      <c r="C106" s="210">
        <v>-200</v>
      </c>
      <c r="D106" s="177">
        <v>-200</v>
      </c>
      <c r="E106" s="188">
        <v>-183</v>
      </c>
      <c r="F106" s="171">
        <v>-140</v>
      </c>
      <c r="G106" s="153">
        <v>-60</v>
      </c>
      <c r="H106" s="127">
        <v>-60</v>
      </c>
      <c r="I106" s="10">
        <v>-629</v>
      </c>
    </row>
    <row r="107" spans="1:9" x14ac:dyDescent="0.25">
      <c r="A107" s="24" t="str">
        <f>"6570"</f>
        <v>6570</v>
      </c>
      <c r="B107" s="5" t="str">
        <f>"Bankkostnader"</f>
        <v>Bankkostnader</v>
      </c>
      <c r="C107" s="210">
        <v>-2000</v>
      </c>
      <c r="D107" s="177">
        <v>-2000</v>
      </c>
      <c r="E107" s="188">
        <v>-615</v>
      </c>
      <c r="F107" s="171">
        <v>-4.5</v>
      </c>
      <c r="G107" s="153">
        <v>-1869</v>
      </c>
      <c r="H107" s="127">
        <v>-1971</v>
      </c>
      <c r="I107" s="10">
        <v>-3250</v>
      </c>
    </row>
    <row r="108" spans="1:9" x14ac:dyDescent="0.25">
      <c r="A108" s="24" t="str">
        <f>"6980"</f>
        <v>6980</v>
      </c>
      <c r="B108" s="5" t="str">
        <f>"Föreningsavgift /Licenser"</f>
        <v>Föreningsavgift /Licenser</v>
      </c>
      <c r="C108" s="210">
        <v>-20000</v>
      </c>
      <c r="D108" s="177">
        <v>-25000</v>
      </c>
      <c r="E108" s="188">
        <v>-17180</v>
      </c>
      <c r="F108" s="171">
        <v>-15790</v>
      </c>
      <c r="G108" s="153">
        <v>-26978</v>
      </c>
      <c r="H108" s="127">
        <v>-24550</v>
      </c>
      <c r="I108" s="10">
        <v>-19650</v>
      </c>
    </row>
    <row r="109" spans="1:9" x14ac:dyDescent="0.25">
      <c r="A109" s="24" t="str">
        <f>"6990"</f>
        <v>6990</v>
      </c>
      <c r="B109" s="5" t="str">
        <f>"Övriga Kostnader"</f>
        <v>Övriga Kostnader</v>
      </c>
      <c r="C109" s="210">
        <v>-4000</v>
      </c>
      <c r="D109" s="177">
        <v>-4000</v>
      </c>
      <c r="E109" s="188">
        <v>-4730.79</v>
      </c>
      <c r="F109" s="171">
        <v>-3998.66</v>
      </c>
      <c r="G109" s="153">
        <v>-3766.5</v>
      </c>
      <c r="H109" s="127">
        <v>-14526.5</v>
      </c>
      <c r="I109" s="10">
        <v>-4063</v>
      </c>
    </row>
    <row r="110" spans="1:9" x14ac:dyDescent="0.25">
      <c r="A110" s="24" t="str">
        <f>"6991"</f>
        <v>6991</v>
      </c>
      <c r="B110" s="5" t="str">
        <f>"Container"</f>
        <v>Container</v>
      </c>
      <c r="C110" s="210"/>
      <c r="D110" s="177"/>
      <c r="E110" s="188"/>
      <c r="F110" s="171"/>
      <c r="G110" s="153"/>
      <c r="H110" s="127"/>
      <c r="I110" s="10"/>
    </row>
    <row r="111" spans="1:9" x14ac:dyDescent="0.25">
      <c r="A111" s="26"/>
      <c r="B111" s="6"/>
      <c r="C111" s="210"/>
      <c r="D111" s="177"/>
      <c r="E111" s="188"/>
      <c r="F111" s="6"/>
      <c r="G111" s="153"/>
      <c r="H111" s="127"/>
      <c r="I111" s="10"/>
    </row>
    <row r="112" spans="1:9" s="1" customFormat="1" ht="15.75" thickBot="1" x14ac:dyDescent="0.3">
      <c r="A112" s="27" t="str">
        <f>"S:a Övriga externa kostnader"</f>
        <v>S:a Övriga externa kostnader</v>
      </c>
      <c r="B112" s="14"/>
      <c r="C112" s="212">
        <f>SUM(C88:C110)</f>
        <v>-271700</v>
      </c>
      <c r="D112" s="179">
        <f t="shared" ref="D112:H112" si="3">SUM(D88:D110)</f>
        <v>-234200</v>
      </c>
      <c r="E112" s="189">
        <f t="shared" si="3"/>
        <v>-74214.789999999994</v>
      </c>
      <c r="F112" s="170">
        <f t="shared" si="3"/>
        <v>-120809.04000000001</v>
      </c>
      <c r="G112" s="109">
        <f t="shared" si="3"/>
        <v>-182207</v>
      </c>
      <c r="H112" s="119">
        <f t="shared" si="3"/>
        <v>-185684.5</v>
      </c>
      <c r="I112" s="55">
        <f>SUM(I88:I111)</f>
        <v>-149977</v>
      </c>
    </row>
    <row r="113" spans="1:61" s="1" customFormat="1" ht="15.75" thickBot="1" x14ac:dyDescent="0.3">
      <c r="A113" s="80"/>
      <c r="B113" s="81"/>
      <c r="C113" s="206"/>
      <c r="D113" s="181"/>
      <c r="E113" s="197"/>
      <c r="F113" s="172"/>
      <c r="G113" s="158"/>
      <c r="H113" s="130"/>
      <c r="I113" s="84"/>
    </row>
    <row r="114" spans="1:61" x14ac:dyDescent="0.25">
      <c r="A114" s="19"/>
      <c r="B114" s="20"/>
      <c r="C114" s="205"/>
      <c r="D114" s="180"/>
      <c r="E114" s="190"/>
      <c r="F114" s="168"/>
      <c r="G114" s="155"/>
      <c r="H114" s="131"/>
      <c r="I114" s="30"/>
    </row>
    <row r="115" spans="1:61" x14ac:dyDescent="0.25">
      <c r="A115" s="22" t="str">
        <f>"Personalkostnader"</f>
        <v>Personalkostnader</v>
      </c>
      <c r="B115" s="6"/>
      <c r="C115" s="203"/>
      <c r="D115" s="177"/>
      <c r="E115" s="188"/>
      <c r="F115" s="6"/>
      <c r="G115" s="153"/>
      <c r="H115" s="127"/>
      <c r="I115" s="10"/>
    </row>
    <row r="116" spans="1:61" x14ac:dyDescent="0.25">
      <c r="A116" s="24" t="str">
        <f>"7110"</f>
        <v>7110</v>
      </c>
      <c r="B116" s="5" t="str">
        <f>"Träningsbidrag"</f>
        <v>Träningsbidrag</v>
      </c>
      <c r="C116" s="210"/>
      <c r="D116" s="177"/>
      <c r="E116" s="188"/>
      <c r="F116" s="171">
        <v>-400</v>
      </c>
      <c r="G116" s="153">
        <v>-3200</v>
      </c>
      <c r="H116" s="127">
        <v>-4600</v>
      </c>
      <c r="I116" s="10">
        <v>-7600</v>
      </c>
    </row>
    <row r="117" spans="1:61" x14ac:dyDescent="0.25">
      <c r="A117" s="24" t="s">
        <v>57</v>
      </c>
      <c r="B117" s="5" t="s">
        <v>58</v>
      </c>
      <c r="C117" s="210">
        <v>-4000</v>
      </c>
      <c r="D117" s="177"/>
      <c r="E117" s="188">
        <v>-4050</v>
      </c>
      <c r="F117" s="171">
        <v>-600</v>
      </c>
      <c r="G117" s="153">
        <v>-900</v>
      </c>
      <c r="H117" s="127">
        <v>-2200</v>
      </c>
      <c r="I117" s="10">
        <v>-1600</v>
      </c>
    </row>
    <row r="118" spans="1:61" x14ac:dyDescent="0.25">
      <c r="A118" s="24" t="str">
        <f>"7210"</f>
        <v>7210</v>
      </c>
      <c r="B118" s="5" t="str">
        <f>"Resekostnads ersättning"</f>
        <v>Resekostnads ersättning</v>
      </c>
      <c r="C118" s="210">
        <v>-1000</v>
      </c>
      <c r="D118" s="177"/>
      <c r="E118" s="188">
        <v>-851</v>
      </c>
      <c r="F118" s="171">
        <v>-610</v>
      </c>
      <c r="G118" s="153">
        <v>-6961</v>
      </c>
      <c r="H118" s="127">
        <v>-6040</v>
      </c>
      <c r="I118" s="10">
        <v>-5381</v>
      </c>
    </row>
    <row r="119" spans="1:61" x14ac:dyDescent="0.25">
      <c r="A119" s="24" t="str">
        <f>"7610"</f>
        <v>7610</v>
      </c>
      <c r="B119" s="5" t="str">
        <f>"Utbildning"</f>
        <v>Utbildning</v>
      </c>
      <c r="C119" s="210">
        <v>-10000</v>
      </c>
      <c r="D119" s="177"/>
      <c r="E119" s="188">
        <v>-7796</v>
      </c>
      <c r="F119" s="171"/>
      <c r="G119" s="153">
        <v>-11671</v>
      </c>
      <c r="H119" s="127">
        <v>-18925</v>
      </c>
      <c r="I119" s="10"/>
    </row>
    <row r="120" spans="1:61" x14ac:dyDescent="0.25">
      <c r="A120" s="26"/>
      <c r="B120" s="6" t="s">
        <v>37</v>
      </c>
      <c r="C120" s="210"/>
      <c r="D120" s="177"/>
      <c r="E120" s="188"/>
      <c r="F120" s="6"/>
      <c r="G120" s="153"/>
      <c r="H120" s="127"/>
      <c r="I120" s="10"/>
    </row>
    <row r="121" spans="1:61" s="1" customFormat="1" ht="15.75" thickBot="1" x14ac:dyDescent="0.3">
      <c r="A121" s="27" t="str">
        <f>"S:a Personalkostnader"</f>
        <v>S:a Personalkostnader</v>
      </c>
      <c r="B121" s="14"/>
      <c r="C121" s="212">
        <f t="shared" ref="C121:H121" si="4">SUM(C116:C119)</f>
        <v>-15000</v>
      </c>
      <c r="D121" s="179">
        <f t="shared" si="4"/>
        <v>0</v>
      </c>
      <c r="E121" s="189">
        <f t="shared" si="4"/>
        <v>-12697</v>
      </c>
      <c r="F121" s="170">
        <f t="shared" si="4"/>
        <v>-1610</v>
      </c>
      <c r="G121" s="154">
        <f t="shared" si="4"/>
        <v>-22732</v>
      </c>
      <c r="H121" s="119">
        <f t="shared" si="4"/>
        <v>-31765</v>
      </c>
      <c r="I121" s="55">
        <f>SUM(I116:I120)</f>
        <v>-14581</v>
      </c>
    </row>
    <row r="122" spans="1:61" x14ac:dyDescent="0.25">
      <c r="A122" s="19"/>
      <c r="B122" s="20"/>
      <c r="C122" s="205"/>
      <c r="D122" s="180"/>
      <c r="E122" s="190"/>
      <c r="F122" s="168"/>
      <c r="G122" s="155"/>
      <c r="H122" s="131"/>
      <c r="I122" s="30"/>
    </row>
    <row r="123" spans="1:61" x14ac:dyDescent="0.25">
      <c r="A123" s="26"/>
      <c r="B123" s="6"/>
      <c r="C123" s="203"/>
      <c r="D123" s="177"/>
      <c r="E123" s="188"/>
      <c r="F123" s="6"/>
      <c r="G123" s="153"/>
      <c r="H123" s="127"/>
      <c r="I123" s="10"/>
    </row>
    <row r="124" spans="1:61" s="2" customFormat="1" ht="15.75" thickBot="1" x14ac:dyDescent="0.3">
      <c r="A124" s="32" t="str">
        <f>"S:a Rörelsens kostnader inkl råvaror mm"</f>
        <v>S:a Rörelsens kostnader inkl råvaror mm</v>
      </c>
      <c r="B124" s="33"/>
      <c r="C124" s="147">
        <f>SUM(C82+C112+C121)</f>
        <v>-620700</v>
      </c>
      <c r="D124" s="163">
        <f>D82+D112+D121</f>
        <v>-505200</v>
      </c>
      <c r="E124" s="163">
        <f>E82+E112+E121</f>
        <v>-437772.44</v>
      </c>
      <c r="F124" s="149">
        <f>F82+F121+F112</f>
        <v>-409152.87</v>
      </c>
      <c r="G124" s="110">
        <f>G82+G121+G112</f>
        <v>-490942.48</v>
      </c>
      <c r="H124" s="111">
        <f>H82+H112+H121</f>
        <v>-476537.5</v>
      </c>
      <c r="I124" s="34">
        <f>I82+I112+I121</f>
        <v>-385276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s="2" customFormat="1" x14ac:dyDescent="0.25">
      <c r="A125" s="51"/>
      <c r="B125" s="17"/>
      <c r="C125" s="207"/>
      <c r="D125" s="182"/>
      <c r="E125" s="191"/>
      <c r="F125" s="81"/>
      <c r="G125" s="156"/>
      <c r="H125" s="132"/>
      <c r="I125" s="5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s="2" customFormat="1" x14ac:dyDescent="0.25">
      <c r="A126" s="51" t="s">
        <v>59</v>
      </c>
      <c r="B126" s="17" t="s">
        <v>60</v>
      </c>
      <c r="C126" s="208"/>
      <c r="D126" s="183"/>
      <c r="E126" s="198"/>
      <c r="F126" s="17">
        <v>118.94</v>
      </c>
      <c r="G126" s="157">
        <v>7419</v>
      </c>
      <c r="H126" s="132">
        <v>708</v>
      </c>
      <c r="I126" s="57">
        <v>1757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x14ac:dyDescent="0.25">
      <c r="A127" s="26"/>
      <c r="B127" s="6"/>
      <c r="C127" s="203"/>
      <c r="D127" s="177"/>
      <c r="E127" s="188"/>
      <c r="F127" s="6"/>
      <c r="G127" s="153"/>
      <c r="H127" s="127"/>
      <c r="I127" s="10"/>
    </row>
    <row r="128" spans="1:61" s="3" customFormat="1" x14ac:dyDescent="0.25">
      <c r="A128" s="113" t="str">
        <f>"Beräknat resultat"</f>
        <v>Beräknat resultat</v>
      </c>
      <c r="B128" s="114"/>
      <c r="C128" s="150">
        <f>C55+C124</f>
        <v>-243800</v>
      </c>
      <c r="D128" s="164">
        <f t="shared" ref="D128:I128" si="5">D55+D124+D126</f>
        <v>-126700</v>
      </c>
      <c r="E128" s="164">
        <f t="shared" si="5"/>
        <v>37955.56</v>
      </c>
      <c r="F128" s="150">
        <f t="shared" si="5"/>
        <v>26985.40000000002</v>
      </c>
      <c r="G128" s="115">
        <f t="shared" si="5"/>
        <v>80932.520000000019</v>
      </c>
      <c r="H128" s="116">
        <f t="shared" si="5"/>
        <v>-51946</v>
      </c>
      <c r="I128" s="117">
        <f t="shared" si="5"/>
        <v>89433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9" ht="15.75" thickBot="1" x14ac:dyDescent="0.3">
      <c r="A129" s="37"/>
      <c r="B129" s="15"/>
      <c r="C129" s="15"/>
      <c r="D129" s="15"/>
      <c r="E129" s="15"/>
      <c r="F129" s="15"/>
      <c r="G129" s="109"/>
      <c r="H129" s="15"/>
      <c r="I129" s="70"/>
    </row>
  </sheetData>
  <pageMargins left="0.7" right="0.7" top="0.75" bottom="0.75" header="0.3" footer="0.3"/>
  <pageSetup paperSize="9" orientation="portrait" horizontalDpi="4294967294" verticalDpi="0" r:id="rId1"/>
  <headerFooter>
    <oddHeader>&amp;C&amp;"Calibri"&amp;10&amp;K008000 Zeppelin: Confidential GREEN&amp;1#_x000D_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29"/>
  <sheetViews>
    <sheetView zoomScaleNormal="100" workbookViewId="0">
      <selection activeCell="E6" sqref="E6"/>
    </sheetView>
  </sheetViews>
  <sheetFormatPr defaultRowHeight="15" x14ac:dyDescent="0.25"/>
  <cols>
    <col min="1" max="1" width="12.28515625" customWidth="1"/>
    <col min="2" max="2" width="31.42578125" customWidth="1"/>
    <col min="3" max="3" width="17.28515625" bestFit="1" customWidth="1"/>
    <col min="4" max="5" width="19" customWidth="1"/>
    <col min="6" max="6" width="15.7109375" customWidth="1"/>
    <col min="7" max="8" width="14.28515625" customWidth="1"/>
    <col min="9" max="9" width="13.7109375" style="4" customWidth="1"/>
    <col min="10" max="10" width="20.7109375" bestFit="1" customWidth="1"/>
    <col min="11" max="11" width="16" customWidth="1"/>
    <col min="12" max="12" width="12.7109375" customWidth="1"/>
    <col min="13" max="13" width="32.7109375" bestFit="1" customWidth="1"/>
    <col min="14" max="14" width="11.7109375" bestFit="1" customWidth="1"/>
  </cols>
  <sheetData>
    <row r="1" spans="1:9" x14ac:dyDescent="0.25">
      <c r="A1" s="9"/>
      <c r="B1" s="47" t="s">
        <v>0</v>
      </c>
      <c r="C1" s="47" t="s">
        <v>1</v>
      </c>
      <c r="D1" s="47"/>
      <c r="E1" s="47"/>
      <c r="F1" s="194"/>
      <c r="G1" s="47"/>
      <c r="H1" s="47"/>
      <c r="I1" s="10"/>
    </row>
    <row r="2" spans="1:9" x14ac:dyDescent="0.25">
      <c r="A2" s="9"/>
      <c r="B2" s="87"/>
      <c r="C2" s="87" t="s">
        <v>2</v>
      </c>
      <c r="D2" s="87"/>
      <c r="E2" s="199" t="s">
        <v>3</v>
      </c>
      <c r="F2" s="195"/>
      <c r="G2" s="87"/>
      <c r="H2" s="7"/>
      <c r="I2" s="10"/>
    </row>
    <row r="3" spans="1:9" x14ac:dyDescent="0.25">
      <c r="A3" s="6"/>
      <c r="B3" s="6"/>
      <c r="C3" s="200">
        <v>2017</v>
      </c>
      <c r="D3" s="214">
        <v>2016</v>
      </c>
      <c r="E3" s="58">
        <v>2016</v>
      </c>
      <c r="F3" s="58">
        <v>2015</v>
      </c>
      <c r="G3" s="58">
        <v>2014</v>
      </c>
      <c r="H3" s="121">
        <v>2013</v>
      </c>
      <c r="I3" s="58">
        <v>2012</v>
      </c>
    </row>
    <row r="4" spans="1:9" ht="15.75" thickBot="1" x14ac:dyDescent="0.3">
      <c r="A4" s="16"/>
      <c r="B4" s="16"/>
      <c r="C4" s="201" t="s">
        <v>4</v>
      </c>
      <c r="D4" s="215" t="s">
        <v>121</v>
      </c>
      <c r="E4" s="59" t="s">
        <v>5</v>
      </c>
      <c r="F4" s="59" t="s">
        <v>5</v>
      </c>
      <c r="G4" s="59" t="s">
        <v>5</v>
      </c>
      <c r="H4" s="122" t="s">
        <v>5</v>
      </c>
      <c r="I4" s="60" t="s">
        <v>5</v>
      </c>
    </row>
    <row r="5" spans="1:9" x14ac:dyDescent="0.25">
      <c r="A5" s="19"/>
      <c r="B5" s="20"/>
      <c r="C5" s="202"/>
      <c r="D5" s="216"/>
      <c r="E5" s="20"/>
      <c r="F5" s="20"/>
      <c r="G5" s="20"/>
      <c r="H5" s="123"/>
      <c r="I5" s="30"/>
    </row>
    <row r="6" spans="1:9" x14ac:dyDescent="0.25">
      <c r="A6" s="22" t="str">
        <f>"Rörelsens intäkter och lagerförändring"</f>
        <v>Rörelsens intäkter och lagerförändring</v>
      </c>
      <c r="B6" s="6"/>
      <c r="C6" s="203"/>
      <c r="D6" s="217"/>
      <c r="E6" s="6"/>
      <c r="F6" s="6"/>
      <c r="G6" s="6"/>
      <c r="H6" s="124"/>
      <c r="I6" s="10"/>
    </row>
    <row r="7" spans="1:9" x14ac:dyDescent="0.25">
      <c r="A7" s="22" t="str">
        <f>"Nettoomsättning"</f>
        <v>Nettoomsättning</v>
      </c>
      <c r="B7" s="6"/>
      <c r="C7" s="203"/>
      <c r="D7" s="217"/>
      <c r="E7" s="6"/>
      <c r="F7" s="6"/>
      <c r="G7" s="6"/>
      <c r="H7" s="124"/>
      <c r="I7" s="10"/>
    </row>
    <row r="8" spans="1:9" x14ac:dyDescent="0.25">
      <c r="A8" s="186" t="str">
        <f>"3110"</f>
        <v>3110</v>
      </c>
      <c r="B8" s="5" t="str">
        <f>"Medlemsavgifter"</f>
        <v>Medlemsavgifter</v>
      </c>
      <c r="C8" s="210">
        <v>92000</v>
      </c>
      <c r="D8" s="218">
        <v>92000</v>
      </c>
      <c r="E8" s="188">
        <v>94050</v>
      </c>
      <c r="F8" s="165">
        <v>92225</v>
      </c>
      <c r="G8" s="153">
        <v>91000</v>
      </c>
      <c r="H8" s="125">
        <v>83650</v>
      </c>
      <c r="I8" s="10">
        <v>72350</v>
      </c>
    </row>
    <row r="9" spans="1:9" x14ac:dyDescent="0.25">
      <c r="A9" s="186" t="str">
        <f>"3120"</f>
        <v>3120</v>
      </c>
      <c r="B9" s="5" t="str">
        <f>"Intäkter kanothyra"</f>
        <v>Intäkter kanothyra</v>
      </c>
      <c r="C9" s="210">
        <v>15000</v>
      </c>
      <c r="D9" s="218">
        <v>23000</v>
      </c>
      <c r="E9" s="188">
        <v>15440</v>
      </c>
      <c r="F9" s="165">
        <v>13125</v>
      </c>
      <c r="G9" s="153">
        <v>17450</v>
      </c>
      <c r="H9" s="125">
        <v>13450</v>
      </c>
      <c r="I9" s="10">
        <v>13000</v>
      </c>
    </row>
    <row r="10" spans="1:9" x14ac:dyDescent="0.25">
      <c r="A10" s="186" t="str">
        <f>"3130"</f>
        <v>3130</v>
      </c>
      <c r="B10" s="5" t="str">
        <f>"Intäkter kanotplats"</f>
        <v>Intäkter kanotplats</v>
      </c>
      <c r="C10" s="210">
        <v>24000</v>
      </c>
      <c r="D10" s="218">
        <v>24000</v>
      </c>
      <c r="E10" s="188">
        <v>24625</v>
      </c>
      <c r="F10" s="165">
        <v>23375</v>
      </c>
      <c r="G10" s="153">
        <v>17713</v>
      </c>
      <c r="H10" s="125">
        <v>18175</v>
      </c>
      <c r="I10" s="10">
        <v>15750</v>
      </c>
    </row>
    <row r="11" spans="1:9" x14ac:dyDescent="0.25">
      <c r="A11" s="186" t="str">
        <f>"3140"</f>
        <v>3140</v>
      </c>
      <c r="B11" s="5" t="str">
        <f>"Intäkter kanotskola"</f>
        <v>Intäkter kanotskola</v>
      </c>
      <c r="C11" s="210">
        <v>20000</v>
      </c>
      <c r="D11" s="218">
        <v>20000</v>
      </c>
      <c r="E11" s="188">
        <v>17550</v>
      </c>
      <c r="F11" s="165">
        <v>25525</v>
      </c>
      <c r="G11" s="153">
        <v>35750</v>
      </c>
      <c r="H11" s="125">
        <v>24535</v>
      </c>
      <c r="I11" s="10">
        <v>24050</v>
      </c>
    </row>
    <row r="12" spans="1:9" x14ac:dyDescent="0.25">
      <c r="A12" s="186" t="str">
        <f>"3142"</f>
        <v>3142</v>
      </c>
      <c r="B12" s="5" t="str">
        <f>"Prova-på-paddling"</f>
        <v>Prova-på-paddling</v>
      </c>
      <c r="C12" s="210">
        <v>12000</v>
      </c>
      <c r="D12" s="218">
        <v>5000</v>
      </c>
      <c r="E12" s="188">
        <v>13600</v>
      </c>
      <c r="F12" s="165">
        <v>12400</v>
      </c>
      <c r="G12" s="153">
        <v>18000</v>
      </c>
      <c r="H12" s="125">
        <v>7200</v>
      </c>
      <c r="I12" s="10">
        <v>3200</v>
      </c>
    </row>
    <row r="13" spans="1:9" x14ac:dyDescent="0.25">
      <c r="A13" s="186" t="s">
        <v>6</v>
      </c>
      <c r="B13" s="5" t="s">
        <v>7</v>
      </c>
      <c r="C13" s="210">
        <v>10000</v>
      </c>
      <c r="D13" s="218">
        <v>5000</v>
      </c>
      <c r="E13" s="188">
        <v>16200</v>
      </c>
      <c r="F13" s="165">
        <v>6000</v>
      </c>
      <c r="G13" s="153">
        <v>3100</v>
      </c>
      <c r="H13" s="125">
        <v>7600</v>
      </c>
      <c r="I13" s="10"/>
    </row>
    <row r="14" spans="1:9" x14ac:dyDescent="0.25">
      <c r="A14" s="186" t="str">
        <f>"3150"</f>
        <v>3150</v>
      </c>
      <c r="B14" s="5" t="s">
        <v>8</v>
      </c>
      <c r="C14" s="210"/>
      <c r="D14" s="218"/>
      <c r="E14" s="188"/>
      <c r="F14" s="165"/>
      <c r="G14" s="153">
        <v>12000</v>
      </c>
      <c r="H14" s="125">
        <v>12000</v>
      </c>
      <c r="I14" s="10">
        <v>12000</v>
      </c>
    </row>
    <row r="15" spans="1:9" x14ac:dyDescent="0.25">
      <c r="A15" s="186" t="str">
        <f>"3210"</f>
        <v>3210</v>
      </c>
      <c r="B15" s="44" t="str">
        <f>"Intäkter tävling/transport"</f>
        <v>Intäkter tävling/transport</v>
      </c>
      <c r="C15" s="211"/>
      <c r="D15" s="219"/>
      <c r="E15" s="196"/>
      <c r="F15" s="166"/>
      <c r="G15" s="153"/>
      <c r="H15" s="126"/>
      <c r="I15" s="10"/>
    </row>
    <row r="16" spans="1:9" x14ac:dyDescent="0.25">
      <c r="A16" s="186" t="str">
        <f>"3211"</f>
        <v>3211</v>
      </c>
      <c r="B16" s="5" t="str">
        <f>"Anmälningsavgifter"</f>
        <v>Anmälningsavgifter</v>
      </c>
      <c r="C16" s="210">
        <v>8000</v>
      </c>
      <c r="D16" s="218">
        <v>8000</v>
      </c>
      <c r="E16" s="188">
        <v>7800</v>
      </c>
      <c r="F16" s="165">
        <v>6400</v>
      </c>
      <c r="G16" s="153">
        <v>12000</v>
      </c>
      <c r="H16" s="125">
        <v>13120</v>
      </c>
      <c r="I16" s="10">
        <v>9500</v>
      </c>
    </row>
    <row r="17" spans="1:12" x14ac:dyDescent="0.25">
      <c r="A17" s="186" t="str">
        <f>"3212"</f>
        <v>3212</v>
      </c>
      <c r="B17" s="5" t="str">
        <f>"Transportavgift"</f>
        <v>Transportavgift</v>
      </c>
      <c r="C17" s="210" t="s">
        <v>117</v>
      </c>
      <c r="D17" s="218"/>
      <c r="E17" s="188"/>
      <c r="F17" s="165">
        <v>400</v>
      </c>
      <c r="G17" s="153">
        <v>100</v>
      </c>
      <c r="H17" s="125">
        <v>1800</v>
      </c>
      <c r="I17" s="10">
        <v>600</v>
      </c>
    </row>
    <row r="18" spans="1:12" x14ac:dyDescent="0.25">
      <c r="A18" s="186" t="str">
        <f>"3213"</f>
        <v>3213</v>
      </c>
      <c r="B18" s="5" t="str">
        <f>"Kost och logi under tävlingar"</f>
        <v>Kost och logi under tävlingar</v>
      </c>
      <c r="C18" s="210"/>
      <c r="D18" s="218"/>
      <c r="E18" s="188">
        <v>7635</v>
      </c>
      <c r="F18" s="165">
        <v>5390</v>
      </c>
      <c r="G18" s="153">
        <v>12555</v>
      </c>
      <c r="H18" s="125">
        <v>2400</v>
      </c>
      <c r="I18" s="10">
        <v>11950</v>
      </c>
    </row>
    <row r="19" spans="1:12" x14ac:dyDescent="0.25">
      <c r="A19" s="186">
        <v>3214</v>
      </c>
      <c r="B19" s="6" t="s">
        <v>9</v>
      </c>
      <c r="C19" s="210"/>
      <c r="D19" s="218"/>
      <c r="E19" s="188"/>
      <c r="F19" s="165"/>
      <c r="G19" s="153"/>
      <c r="H19" s="125"/>
      <c r="I19" s="10"/>
    </row>
    <row r="20" spans="1:12" x14ac:dyDescent="0.25">
      <c r="A20" s="186"/>
      <c r="B20" s="44"/>
      <c r="C20" s="211"/>
      <c r="D20" s="219"/>
      <c r="E20" s="196"/>
      <c r="F20" s="166"/>
      <c r="G20" s="153"/>
      <c r="H20" s="126"/>
      <c r="I20" s="10"/>
    </row>
    <row r="21" spans="1:12" x14ac:dyDescent="0.25">
      <c r="A21" s="223" t="str">
        <f>"3221"</f>
        <v>3221</v>
      </c>
      <c r="B21" s="224" t="s">
        <v>122</v>
      </c>
      <c r="C21" s="210">
        <v>10000</v>
      </c>
      <c r="D21" s="218">
        <v>10000</v>
      </c>
      <c r="E21" s="188">
        <v>9850</v>
      </c>
      <c r="F21" s="165">
        <v>8200</v>
      </c>
      <c r="G21" s="153">
        <v>5450</v>
      </c>
      <c r="H21" s="125">
        <v>1650</v>
      </c>
      <c r="I21" s="10">
        <v>5800</v>
      </c>
    </row>
    <row r="22" spans="1:12" x14ac:dyDescent="0.25">
      <c r="A22" s="223" t="s">
        <v>11</v>
      </c>
      <c r="B22" s="224" t="s">
        <v>123</v>
      </c>
      <c r="C22" s="210"/>
      <c r="D22" s="218">
        <v>40000</v>
      </c>
      <c r="E22" s="188"/>
      <c r="F22" s="165"/>
      <c r="G22" s="153"/>
      <c r="H22" s="125"/>
      <c r="I22" s="10"/>
    </row>
    <row r="23" spans="1:12" x14ac:dyDescent="0.25">
      <c r="A23" s="186" t="str">
        <f>"3223"</f>
        <v>3223</v>
      </c>
      <c r="B23" s="5" t="str">
        <f>"Intäkter SM läger"</f>
        <v>Intäkter SM läger</v>
      </c>
      <c r="C23" s="210">
        <v>18000</v>
      </c>
      <c r="D23" s="218">
        <v>20000</v>
      </c>
      <c r="E23" s="188">
        <v>17100</v>
      </c>
      <c r="F23" s="165">
        <v>18000</v>
      </c>
      <c r="G23" s="153">
        <v>7500</v>
      </c>
      <c r="H23" s="125">
        <v>8400</v>
      </c>
      <c r="I23" s="10">
        <v>11200</v>
      </c>
    </row>
    <row r="24" spans="1:12" x14ac:dyDescent="0.25">
      <c r="A24" s="186" t="s">
        <v>13</v>
      </c>
      <c r="B24" s="5" t="s">
        <v>14</v>
      </c>
      <c r="C24" s="210">
        <v>5000</v>
      </c>
      <c r="D24" s="218">
        <v>5000</v>
      </c>
      <c r="E24" s="188"/>
      <c r="F24" s="165">
        <v>5434</v>
      </c>
      <c r="G24" s="153">
        <v>11030</v>
      </c>
      <c r="H24" s="125">
        <v>13415.5</v>
      </c>
      <c r="I24" s="10">
        <v>6734</v>
      </c>
    </row>
    <row r="25" spans="1:12" x14ac:dyDescent="0.25">
      <c r="A25" s="186" t="str">
        <f>"3310"</f>
        <v>3310</v>
      </c>
      <c r="B25" s="5" t="str">
        <f>"Bingolotto"</f>
        <v>Bingolotto</v>
      </c>
      <c r="C25" s="210">
        <v>900</v>
      </c>
      <c r="D25" s="218">
        <v>3000</v>
      </c>
      <c r="E25" s="188">
        <v>910</v>
      </c>
      <c r="F25" s="165">
        <v>1092</v>
      </c>
      <c r="G25" s="153">
        <v>3943</v>
      </c>
      <c r="H25" s="125">
        <v>2388</v>
      </c>
      <c r="I25" s="10">
        <v>1404</v>
      </c>
    </row>
    <row r="26" spans="1:12" x14ac:dyDescent="0.25">
      <c r="A26" s="186" t="str">
        <f>"3320"</f>
        <v>3320</v>
      </c>
      <c r="B26" s="5" t="str">
        <f>"Övrig lotteriverksamhet"</f>
        <v>Övrig lotteriverksamhet</v>
      </c>
      <c r="C26" s="210"/>
      <c r="D26" s="218"/>
      <c r="E26" s="188"/>
      <c r="F26" s="165">
        <v>1787</v>
      </c>
      <c r="G26" s="153"/>
      <c r="H26" s="125"/>
      <c r="I26" s="10">
        <v>1430</v>
      </c>
    </row>
    <row r="27" spans="1:12" x14ac:dyDescent="0.25">
      <c r="A27" s="186" t="s">
        <v>15</v>
      </c>
      <c r="B27" s="5" t="s">
        <v>16</v>
      </c>
      <c r="C27" s="210"/>
      <c r="D27" s="218"/>
      <c r="E27" s="188"/>
      <c r="F27" s="165"/>
      <c r="G27" s="153"/>
      <c r="H27" s="125"/>
      <c r="I27" s="10"/>
    </row>
    <row r="28" spans="1:12" x14ac:dyDescent="0.25">
      <c r="A28" s="186" t="str">
        <f>"3420"</f>
        <v>3420</v>
      </c>
      <c r="B28" s="5" t="str">
        <f>"Intäkter Sponsorer"</f>
        <v>Intäkter Sponsorer</v>
      </c>
      <c r="C28" s="210">
        <v>39000</v>
      </c>
      <c r="D28" s="218">
        <v>40000</v>
      </c>
      <c r="E28" s="188">
        <v>37000</v>
      </c>
      <c r="F28" s="165">
        <v>54000</v>
      </c>
      <c r="G28" s="153">
        <v>62570</v>
      </c>
      <c r="H28" s="125">
        <v>41400</v>
      </c>
      <c r="I28" s="10">
        <v>87700</v>
      </c>
      <c r="K28" s="4"/>
      <c r="L28" s="4"/>
    </row>
    <row r="29" spans="1:12" x14ac:dyDescent="0.25">
      <c r="A29" s="186" t="str">
        <f>"3421"</f>
        <v>3421</v>
      </c>
      <c r="B29" s="5" t="s">
        <v>17</v>
      </c>
      <c r="C29" s="210">
        <v>30000</v>
      </c>
      <c r="D29" s="218">
        <v>30000</v>
      </c>
      <c r="E29" s="188">
        <v>93000</v>
      </c>
      <c r="F29" s="165">
        <v>28000</v>
      </c>
      <c r="G29" s="153">
        <v>73000</v>
      </c>
      <c r="H29" s="125">
        <v>28000</v>
      </c>
      <c r="I29" s="10">
        <v>20000</v>
      </c>
    </row>
    <row r="30" spans="1:12" x14ac:dyDescent="0.25">
      <c r="A30" s="186" t="s">
        <v>18</v>
      </c>
      <c r="B30" s="5" t="s">
        <v>19</v>
      </c>
      <c r="C30" s="210"/>
      <c r="D30" s="218"/>
      <c r="E30" s="188">
        <v>27000</v>
      </c>
      <c r="F30" s="165">
        <v>28775.33</v>
      </c>
      <c r="G30" s="153">
        <v>26179</v>
      </c>
      <c r="H30" s="125">
        <v>50350</v>
      </c>
      <c r="I30" s="10">
        <v>35000</v>
      </c>
    </row>
    <row r="31" spans="1:12" x14ac:dyDescent="0.25">
      <c r="A31" s="186" t="str">
        <f>"3430"</f>
        <v>3430</v>
      </c>
      <c r="B31" s="5" t="str">
        <f>"Intäkter föräldrarföreningen"</f>
        <v>Intäkter föräldrarföreningen</v>
      </c>
      <c r="C31" s="210"/>
      <c r="D31" s="218">
        <v>25000</v>
      </c>
      <c r="E31" s="188"/>
      <c r="F31" s="165"/>
      <c r="G31" s="153"/>
      <c r="H31" s="127"/>
      <c r="I31" s="10">
        <v>15000</v>
      </c>
    </row>
    <row r="32" spans="1:12" x14ac:dyDescent="0.25">
      <c r="A32" s="186" t="str">
        <f>"3520"</f>
        <v>3520</v>
      </c>
      <c r="B32" s="5" t="str">
        <f>"Intäkter Kanotförsäkring"</f>
        <v>Intäkter Kanotförsäkring</v>
      </c>
      <c r="C32" s="210" t="s">
        <v>118</v>
      </c>
      <c r="D32" s="218">
        <v>0</v>
      </c>
      <c r="E32" s="188">
        <v>430</v>
      </c>
      <c r="F32" s="165">
        <v>2100</v>
      </c>
      <c r="G32" s="153">
        <v>3458</v>
      </c>
      <c r="H32" s="127">
        <v>3830</v>
      </c>
      <c r="I32" s="10">
        <v>5976</v>
      </c>
    </row>
    <row r="33" spans="1:13" x14ac:dyDescent="0.25">
      <c r="A33" s="186" t="s">
        <v>20</v>
      </c>
      <c r="B33" s="5" t="s">
        <v>21</v>
      </c>
      <c r="C33" s="210"/>
      <c r="D33" s="218"/>
      <c r="E33" s="188"/>
      <c r="F33" s="165"/>
      <c r="G33" s="153">
        <v>61624</v>
      </c>
      <c r="H33" s="127"/>
      <c r="I33" s="10"/>
    </row>
    <row r="34" spans="1:13" x14ac:dyDescent="0.25">
      <c r="A34" s="186" t="str">
        <f>"3710"</f>
        <v>3710</v>
      </c>
      <c r="B34" s="5" t="str">
        <f>"Kommunala bidrag"</f>
        <v>Kommunala bidrag</v>
      </c>
      <c r="C34" s="210">
        <v>51000</v>
      </c>
      <c r="D34" s="218">
        <v>70000</v>
      </c>
      <c r="E34" s="188">
        <v>51130</v>
      </c>
      <c r="F34" s="165">
        <v>54852</v>
      </c>
      <c r="G34" s="153">
        <v>52860</v>
      </c>
      <c r="H34" s="127">
        <v>51090</v>
      </c>
      <c r="I34" s="10">
        <v>62752</v>
      </c>
    </row>
    <row r="35" spans="1:13" x14ac:dyDescent="0.25">
      <c r="A35" s="186" t="str">
        <f>"3730"</f>
        <v>3730</v>
      </c>
      <c r="B35" s="5" t="str">
        <f>"LOK-stöd Riksidrottsförbundet"</f>
        <v>LOK-stöd Riksidrottsförbundet</v>
      </c>
      <c r="C35" s="210">
        <v>40000</v>
      </c>
      <c r="D35" s="218">
        <v>54000</v>
      </c>
      <c r="E35" s="188">
        <v>40408</v>
      </c>
      <c r="F35" s="165">
        <v>36836</v>
      </c>
      <c r="G35" s="153">
        <v>33824</v>
      </c>
      <c r="H35" s="127">
        <v>39430</v>
      </c>
      <c r="I35" s="10">
        <v>37396</v>
      </c>
    </row>
    <row r="36" spans="1:13" x14ac:dyDescent="0.25">
      <c r="A36" s="186" t="s">
        <v>22</v>
      </c>
      <c r="B36" s="5" t="s">
        <v>119</v>
      </c>
      <c r="C36" s="210"/>
      <c r="D36" s="218">
        <v>35000</v>
      </c>
      <c r="E36" s="188"/>
      <c r="F36" s="165"/>
      <c r="G36" s="153"/>
      <c r="H36" s="127"/>
      <c r="I36" s="10"/>
    </row>
    <row r="37" spans="1:13" x14ac:dyDescent="0.25">
      <c r="A37" s="186" t="str">
        <f>"3790"</f>
        <v>3790</v>
      </c>
      <c r="B37" s="5" t="s">
        <v>24</v>
      </c>
      <c r="C37" s="210"/>
      <c r="D37" s="218"/>
      <c r="E37" s="188"/>
      <c r="F37" s="165"/>
      <c r="G37" s="153"/>
      <c r="H37" s="127"/>
      <c r="I37" s="10">
        <v>6500</v>
      </c>
      <c r="M37" s="4"/>
    </row>
    <row r="38" spans="1:13" x14ac:dyDescent="0.25">
      <c r="A38" s="26"/>
      <c r="B38" s="6"/>
      <c r="C38" s="210"/>
      <c r="D38" s="218"/>
      <c r="E38" s="188"/>
      <c r="F38" s="165"/>
      <c r="G38" s="153"/>
      <c r="H38" s="127"/>
      <c r="I38" s="10"/>
    </row>
    <row r="39" spans="1:13" s="1" customFormat="1" ht="15.75" thickBot="1" x14ac:dyDescent="0.3">
      <c r="A39" s="27" t="str">
        <f>"S:a Nettoomsättning"</f>
        <v>S:a Nettoomsättning</v>
      </c>
      <c r="B39" s="14"/>
      <c r="C39" s="209">
        <f>SUM(C8:C37)</f>
        <v>374900</v>
      </c>
      <c r="D39" s="220">
        <f>SUM(D8:D38)</f>
        <v>509000</v>
      </c>
      <c r="E39" s="189">
        <f>SUM(E8:E38)</f>
        <v>473728</v>
      </c>
      <c r="F39" s="167">
        <f>SUM(F8:F37)</f>
        <v>423916.33</v>
      </c>
      <c r="G39" s="154">
        <f>SUM(G8:G37)</f>
        <v>561106</v>
      </c>
      <c r="H39" s="119">
        <f>SUM(H8:H37)</f>
        <v>423883.5</v>
      </c>
      <c r="I39" s="28">
        <f>SUM(I8:I38)</f>
        <v>459292</v>
      </c>
      <c r="M39" s="120"/>
    </row>
    <row r="40" spans="1:13" x14ac:dyDescent="0.25">
      <c r="A40" s="19"/>
      <c r="B40" s="20"/>
      <c r="C40" s="205"/>
      <c r="D40" s="221"/>
      <c r="E40" s="190"/>
      <c r="F40" s="168"/>
      <c r="G40" s="155"/>
      <c r="H40" s="128"/>
      <c r="I40" s="30"/>
    </row>
    <row r="41" spans="1:13" x14ac:dyDescent="0.25">
      <c r="A41" s="22" t="str">
        <f>"Aktiverat arbete för egen räkning"</f>
        <v>Aktiverat arbete för egen räkning</v>
      </c>
      <c r="B41" s="6"/>
      <c r="C41" s="203"/>
      <c r="D41" s="218"/>
      <c r="E41" s="188"/>
      <c r="F41" s="6"/>
      <c r="G41" s="153"/>
      <c r="H41" s="129"/>
      <c r="I41" s="10"/>
    </row>
    <row r="42" spans="1:13" x14ac:dyDescent="0.25">
      <c r="A42" s="186" t="s">
        <v>25</v>
      </c>
      <c r="B42" s="6" t="s">
        <v>26</v>
      </c>
      <c r="C42" s="210" t="s">
        <v>120</v>
      </c>
      <c r="D42" s="218"/>
      <c r="E42" s="188"/>
      <c r="F42" s="153"/>
      <c r="G42" s="153"/>
      <c r="H42" s="127">
        <v>0</v>
      </c>
      <c r="I42" s="10"/>
    </row>
    <row r="43" spans="1:13" x14ac:dyDescent="0.25">
      <c r="A43" s="186" t="str">
        <f>"3813"</f>
        <v>3813</v>
      </c>
      <c r="B43" s="5" t="s">
        <v>27</v>
      </c>
      <c r="C43" s="210">
        <v>2000</v>
      </c>
      <c r="D43" s="218"/>
      <c r="E43" s="188">
        <v>2000</v>
      </c>
      <c r="F43" s="153">
        <v>1000</v>
      </c>
      <c r="G43" s="153">
        <v>3350</v>
      </c>
      <c r="H43" s="127">
        <v>0</v>
      </c>
      <c r="I43" s="10">
        <v>2000</v>
      </c>
    </row>
    <row r="44" spans="1:13" x14ac:dyDescent="0.25">
      <c r="A44" s="187"/>
      <c r="B44" s="6"/>
      <c r="C44" s="210"/>
      <c r="D44" s="218"/>
      <c r="E44" s="188"/>
      <c r="F44" s="6"/>
      <c r="G44" s="153"/>
      <c r="H44" s="129"/>
      <c r="I44" s="10"/>
    </row>
    <row r="45" spans="1:13" s="1" customFormat="1" ht="15.75" thickBot="1" x14ac:dyDescent="0.3">
      <c r="A45" s="27" t="str">
        <f>"S:a Aktiverat arbete för egen räkning"</f>
        <v>S:a Aktiverat arbete för egen räkning</v>
      </c>
      <c r="B45" s="14"/>
      <c r="C45" s="212">
        <f>SUM(C41:C43)</f>
        <v>2000</v>
      </c>
      <c r="D45" s="220">
        <f>SUM(D42:D44)</f>
        <v>0</v>
      </c>
      <c r="E45" s="189">
        <f>SUM(E42:E44)</f>
        <v>2000</v>
      </c>
      <c r="F45" s="109">
        <f>SUM(F42:F43)</f>
        <v>1000</v>
      </c>
      <c r="G45" s="109">
        <f>SUM(G42:G43)</f>
        <v>3350</v>
      </c>
      <c r="H45" s="119">
        <f>SUM(H42:H44)</f>
        <v>0</v>
      </c>
      <c r="I45" s="28">
        <f>SUM(I42:I44)</f>
        <v>2000</v>
      </c>
    </row>
    <row r="46" spans="1:13" x14ac:dyDescent="0.25">
      <c r="A46" s="19"/>
      <c r="B46" s="20"/>
      <c r="C46" s="205"/>
      <c r="D46" s="221"/>
      <c r="E46" s="190"/>
      <c r="F46" s="168"/>
      <c r="G46" s="155"/>
      <c r="H46" s="128"/>
      <c r="I46" s="30"/>
    </row>
    <row r="47" spans="1:13" x14ac:dyDescent="0.25">
      <c r="A47" s="22" t="str">
        <f>"Övriga rörelseintäkter"</f>
        <v>Övriga rörelseintäkter</v>
      </c>
      <c r="B47" s="6"/>
      <c r="C47" s="203"/>
      <c r="D47" s="218"/>
      <c r="E47" s="188"/>
      <c r="F47" s="6"/>
      <c r="G47" s="153"/>
      <c r="H47" s="129"/>
      <c r="I47" s="10"/>
    </row>
    <row r="48" spans="1:13" x14ac:dyDescent="0.25">
      <c r="A48" s="186" t="str">
        <f>"3990"</f>
        <v>3990</v>
      </c>
      <c r="B48" s="5" t="str">
        <f>"Övr ersättn och intäkter"</f>
        <v>Övr ersättn och intäkter</v>
      </c>
      <c r="C48" s="210"/>
      <c r="D48" s="218"/>
      <c r="E48" s="188"/>
      <c r="F48" s="169">
        <v>11103</v>
      </c>
      <c r="G48" s="153"/>
      <c r="H48" s="127"/>
      <c r="I48" s="10">
        <v>5500</v>
      </c>
    </row>
    <row r="49" spans="1:61" x14ac:dyDescent="0.25">
      <c r="A49" s="186" t="str">
        <f>"3991"</f>
        <v>3991</v>
      </c>
      <c r="B49" s="5" t="str">
        <f>"Team Porto"</f>
        <v>Team Porto</v>
      </c>
      <c r="C49" s="210"/>
      <c r="D49" s="218"/>
      <c r="E49" s="188"/>
      <c r="F49" s="169"/>
      <c r="G49" s="153"/>
      <c r="H49" s="127"/>
      <c r="I49" s="10">
        <v>0</v>
      </c>
    </row>
    <row r="50" spans="1:61" x14ac:dyDescent="0.25">
      <c r="A50" s="186" t="str">
        <f>"3992"</f>
        <v>3992</v>
      </c>
      <c r="B50" s="5" t="s">
        <v>28</v>
      </c>
      <c r="C50" s="210"/>
      <c r="D50" s="218"/>
      <c r="E50" s="188"/>
      <c r="F50" s="169"/>
      <c r="G50" s="153"/>
      <c r="H50" s="127"/>
      <c r="I50" s="10">
        <v>6160</v>
      </c>
    </row>
    <row r="51" spans="1:61" x14ac:dyDescent="0.25">
      <c r="A51" s="187">
        <v>3680</v>
      </c>
      <c r="B51" s="6" t="s">
        <v>29</v>
      </c>
      <c r="C51" s="210"/>
      <c r="D51" s="218"/>
      <c r="E51" s="188"/>
      <c r="F51" s="169"/>
      <c r="G51" s="153"/>
      <c r="H51" s="129"/>
      <c r="I51" s="10"/>
    </row>
    <row r="52" spans="1:61" s="1" customFormat="1" ht="15.75" thickBot="1" x14ac:dyDescent="0.3">
      <c r="A52" s="27" t="str">
        <f>"S:a Övriga rörelseintäkter"</f>
        <v>S:a Övriga rörelseintäkter</v>
      </c>
      <c r="B52" s="14"/>
      <c r="C52" s="212">
        <f>SUM(C48:C51)</f>
        <v>0</v>
      </c>
      <c r="D52" s="220"/>
      <c r="E52" s="189">
        <f>SUM(E48:E51)</f>
        <v>0</v>
      </c>
      <c r="F52" s="170">
        <f>SUM(F48:F51)</f>
        <v>11103</v>
      </c>
      <c r="G52" s="109">
        <f>SUM(G48:G51)</f>
        <v>0</v>
      </c>
      <c r="H52" s="119">
        <f t="shared" ref="H52:I52" si="0">SUM(H48:H51)</f>
        <v>0</v>
      </c>
      <c r="I52" s="28">
        <f t="shared" si="0"/>
        <v>11660</v>
      </c>
    </row>
    <row r="53" spans="1:61" x14ac:dyDescent="0.25">
      <c r="A53" s="19"/>
      <c r="B53" s="20"/>
      <c r="C53" s="205"/>
      <c r="D53" s="221"/>
      <c r="E53" s="190"/>
      <c r="F53" s="168"/>
      <c r="G53" s="155"/>
      <c r="H53" s="128"/>
      <c r="I53" s="30"/>
    </row>
    <row r="54" spans="1:61" x14ac:dyDescent="0.25">
      <c r="A54" s="26"/>
      <c r="B54" s="6"/>
      <c r="C54" s="203"/>
      <c r="D54" s="218"/>
      <c r="E54" s="188"/>
      <c r="F54" s="6"/>
      <c r="G54" s="153"/>
      <c r="H54" s="129"/>
      <c r="I54" s="10"/>
    </row>
    <row r="55" spans="1:61" s="2" customFormat="1" ht="15.75" thickBot="1" x14ac:dyDescent="0.3">
      <c r="A55" s="32" t="str">
        <f>"S:a Rörelseintäkter och lagerförändring"</f>
        <v>S:a Rörelseintäkter och lagerförändring</v>
      </c>
      <c r="B55" s="33"/>
      <c r="C55" s="147">
        <f>SUM(C39+C45+C52)</f>
        <v>376900</v>
      </c>
      <c r="D55" s="163">
        <f>D39+D45+D52</f>
        <v>509000</v>
      </c>
      <c r="E55" s="163">
        <f>E39+E45+E52</f>
        <v>475728</v>
      </c>
      <c r="F55" s="147">
        <f>F39+F45+F52</f>
        <v>436019.33</v>
      </c>
      <c r="G55" s="112">
        <f>G39+G45+G52</f>
        <v>564456</v>
      </c>
      <c r="H55" s="111">
        <f t="shared" ref="H55:I55" si="1">H39+H45+H52</f>
        <v>423883.5</v>
      </c>
      <c r="I55" s="34">
        <f t="shared" si="1"/>
        <v>472952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x14ac:dyDescent="0.25">
      <c r="A56" s="19"/>
      <c r="B56" s="20"/>
      <c r="C56" s="205"/>
      <c r="D56" s="221"/>
      <c r="E56" s="190"/>
      <c r="F56" s="168"/>
      <c r="G56" s="155"/>
      <c r="H56" s="128"/>
      <c r="I56" s="30"/>
    </row>
    <row r="57" spans="1:61" x14ac:dyDescent="0.25">
      <c r="A57" s="22" t="str">
        <f>"Rörelsens kostnader"</f>
        <v>Rörelsens kostnader</v>
      </c>
      <c r="B57" s="6"/>
      <c r="C57" s="203"/>
      <c r="D57" s="218"/>
      <c r="E57" s="188"/>
      <c r="F57" s="6"/>
      <c r="G57" s="153"/>
      <c r="H57" s="129"/>
      <c r="I57" s="10"/>
    </row>
    <row r="58" spans="1:61" x14ac:dyDescent="0.25">
      <c r="A58" s="22" t="str">
        <f>"Råvaror och förnödenheter mm"</f>
        <v>Råvaror och förnödenheter mm</v>
      </c>
      <c r="B58" s="6"/>
      <c r="C58" s="203"/>
      <c r="D58" s="218"/>
      <c r="E58" s="188"/>
      <c r="F58" s="6"/>
      <c r="G58" s="153"/>
      <c r="H58" s="129"/>
      <c r="I58" s="10"/>
    </row>
    <row r="59" spans="1:61" x14ac:dyDescent="0.25">
      <c r="A59" s="24"/>
      <c r="B59" s="5"/>
      <c r="C59" s="204"/>
      <c r="D59" s="218"/>
      <c r="E59" s="188"/>
      <c r="F59" s="171"/>
      <c r="G59" s="153"/>
      <c r="H59" s="127"/>
      <c r="I59" s="56"/>
    </row>
    <row r="60" spans="1:61" x14ac:dyDescent="0.25">
      <c r="A60" s="24" t="str">
        <f>"4011"</f>
        <v>4011</v>
      </c>
      <c r="B60" s="5" t="str">
        <f>"Anmälningsavgifter"</f>
        <v>Anmälningsavgifter</v>
      </c>
      <c r="C60" s="210">
        <v>-32000</v>
      </c>
      <c r="D60" s="218">
        <v>-40000</v>
      </c>
      <c r="E60" s="188">
        <v>-32651</v>
      </c>
      <c r="F60" s="171">
        <v>-22460</v>
      </c>
      <c r="G60" s="153">
        <v>-38723</v>
      </c>
      <c r="H60" s="127">
        <v>-44933</v>
      </c>
      <c r="I60" s="10">
        <v>-34575</v>
      </c>
    </row>
    <row r="61" spans="1:61" x14ac:dyDescent="0.25">
      <c r="A61" s="24" t="str">
        <f>"4012"</f>
        <v>4012</v>
      </c>
      <c r="B61" s="5" t="str">
        <f>"transportkostnader"</f>
        <v>transportkostnader</v>
      </c>
      <c r="C61" s="210">
        <v>-8000</v>
      </c>
      <c r="D61" s="218">
        <v>-10000</v>
      </c>
      <c r="E61" s="188">
        <v>-4867</v>
      </c>
      <c r="F61" s="171">
        <v>-3587.5</v>
      </c>
      <c r="G61" s="153">
        <v>-3897.5</v>
      </c>
      <c r="H61" s="127">
        <v>-10378</v>
      </c>
      <c r="I61" s="10">
        <v>-2091</v>
      </c>
    </row>
    <row r="62" spans="1:61" x14ac:dyDescent="0.25">
      <c r="A62" s="24" t="str">
        <f>"4013"</f>
        <v>4013</v>
      </c>
      <c r="B62" s="5" t="str">
        <f>"Kost och logi under tävlingar"</f>
        <v>Kost och logi under tävlingar</v>
      </c>
      <c r="C62" s="210"/>
      <c r="D62" s="218"/>
      <c r="E62" s="188">
        <v>-11800</v>
      </c>
      <c r="F62" s="171">
        <v>-5360</v>
      </c>
      <c r="G62" s="153">
        <v>-12490</v>
      </c>
      <c r="H62" s="127">
        <v>-3540</v>
      </c>
      <c r="I62" s="10">
        <v>-13460</v>
      </c>
    </row>
    <row r="63" spans="1:61" x14ac:dyDescent="0.25">
      <c r="A63" s="24" t="str">
        <f>"4014"</f>
        <v>4014</v>
      </c>
      <c r="B63" s="5" t="str">
        <f>"Övriga tävlingskostnader"</f>
        <v>Övriga tävlingskostnader</v>
      </c>
      <c r="C63" s="210"/>
      <c r="D63" s="218"/>
      <c r="E63" s="188">
        <v>-3114</v>
      </c>
      <c r="F63" s="171"/>
      <c r="G63" s="153"/>
      <c r="H63" s="127"/>
      <c r="I63" s="10">
        <v>-2255</v>
      </c>
    </row>
    <row r="64" spans="1:61" x14ac:dyDescent="0.25">
      <c r="A64" s="225" t="str">
        <f>"4020"</f>
        <v>4020</v>
      </c>
      <c r="B64" s="224" t="s">
        <v>124</v>
      </c>
      <c r="C64" s="210">
        <v>-10000</v>
      </c>
      <c r="D64" s="218">
        <v>-10000</v>
      </c>
      <c r="E64" s="188">
        <v>-8784</v>
      </c>
      <c r="F64" s="171">
        <v>-2060</v>
      </c>
      <c r="G64" s="153">
        <v>-1526</v>
      </c>
      <c r="H64" s="127">
        <v>-4627</v>
      </c>
      <c r="I64" s="56">
        <v>-8872</v>
      </c>
    </row>
    <row r="65" spans="1:14" x14ac:dyDescent="0.25">
      <c r="A65" s="24" t="str">
        <f>"4021"</f>
        <v>4021</v>
      </c>
      <c r="B65" s="5" t="str">
        <f>"Anmälningsavgifter, Läger"</f>
        <v>Anmälningsavgifter, Läger</v>
      </c>
      <c r="C65" s="210"/>
      <c r="D65" s="218"/>
      <c r="E65" s="188"/>
      <c r="F65" s="171"/>
      <c r="G65" s="153"/>
      <c r="H65" s="127"/>
      <c r="I65" s="10"/>
    </row>
    <row r="66" spans="1:14" x14ac:dyDescent="0.25">
      <c r="A66" s="24" t="str">
        <f>"4022"</f>
        <v>4022</v>
      </c>
      <c r="B66" s="5" t="str">
        <f>"Transportkostnader, Läger"</f>
        <v>Transportkostnader, Läger</v>
      </c>
      <c r="C66" s="210"/>
      <c r="D66" s="218"/>
      <c r="E66" s="188"/>
      <c r="F66" s="171"/>
      <c r="G66" s="153"/>
      <c r="H66" s="127"/>
      <c r="I66" s="10"/>
    </row>
    <row r="67" spans="1:14" x14ac:dyDescent="0.25">
      <c r="A67" s="225" t="s">
        <v>30</v>
      </c>
      <c r="B67" s="224" t="s">
        <v>125</v>
      </c>
      <c r="C67" s="210"/>
      <c r="D67" s="218">
        <v>-95000</v>
      </c>
      <c r="E67" s="188"/>
      <c r="F67" s="171">
        <v>-1700</v>
      </c>
      <c r="G67" s="153"/>
      <c r="H67" s="127"/>
      <c r="I67" s="10"/>
    </row>
    <row r="68" spans="1:14" x14ac:dyDescent="0.25">
      <c r="A68" s="24" t="str">
        <f>"4024"</f>
        <v>4024</v>
      </c>
      <c r="B68" s="5" t="str">
        <f>"SM läger"</f>
        <v>SM läger</v>
      </c>
      <c r="C68" s="210">
        <v>-45000</v>
      </c>
      <c r="D68" s="218">
        <v>-50000</v>
      </c>
      <c r="E68" s="188">
        <v>-43666</v>
      </c>
      <c r="F68" s="171">
        <v>-33695</v>
      </c>
      <c r="G68" s="153">
        <v>-16960</v>
      </c>
      <c r="H68" s="127">
        <v>-22174</v>
      </c>
      <c r="I68" s="10">
        <v>-28215</v>
      </c>
    </row>
    <row r="69" spans="1:14" x14ac:dyDescent="0.25">
      <c r="A69" s="225" t="s">
        <v>32</v>
      </c>
      <c r="B69" s="224" t="s">
        <v>126</v>
      </c>
      <c r="C69" s="210">
        <v>-40000</v>
      </c>
      <c r="D69" s="218">
        <v>-15000</v>
      </c>
      <c r="E69" s="188">
        <v>-35043</v>
      </c>
      <c r="F69" s="171">
        <v>-51908</v>
      </c>
      <c r="G69" s="153">
        <v>-68237</v>
      </c>
      <c r="H69" s="127">
        <v>-44493</v>
      </c>
      <c r="I69" s="10">
        <v>-56047</v>
      </c>
    </row>
    <row r="70" spans="1:14" x14ac:dyDescent="0.25">
      <c r="A70" s="24" t="str">
        <f>"4110"</f>
        <v>4110</v>
      </c>
      <c r="B70" s="5" t="str">
        <f>"Kostnader Kanotskolan"</f>
        <v>Kostnader Kanotskolan</v>
      </c>
      <c r="C70" s="210">
        <v>-15000</v>
      </c>
      <c r="D70" s="218">
        <v>-20000</v>
      </c>
      <c r="E70" s="188">
        <v>-12819.4</v>
      </c>
      <c r="F70" s="171">
        <v>-14874</v>
      </c>
      <c r="G70" s="153">
        <v>-18212</v>
      </c>
      <c r="H70" s="127">
        <v>-8052</v>
      </c>
      <c r="I70" s="10">
        <v>-10761</v>
      </c>
    </row>
    <row r="71" spans="1:14" x14ac:dyDescent="0.25">
      <c r="A71" s="24" t="s">
        <v>34</v>
      </c>
      <c r="B71" s="5" t="s">
        <v>35</v>
      </c>
      <c r="C71" s="210">
        <v>-4000</v>
      </c>
      <c r="D71" s="218">
        <v>-1000</v>
      </c>
      <c r="E71" s="188">
        <v>-3200</v>
      </c>
      <c r="F71" s="171">
        <v>-4100</v>
      </c>
      <c r="G71" s="153">
        <v>-10300</v>
      </c>
      <c r="H71" s="127">
        <v>-3600</v>
      </c>
      <c r="I71" s="10"/>
    </row>
    <row r="72" spans="1:14" x14ac:dyDescent="0.25">
      <c r="A72" s="24" t="str">
        <f>"4120"</f>
        <v>4120</v>
      </c>
      <c r="B72" s="5" t="str">
        <f>"Kostnad ungdomsverksamhet"</f>
        <v>Kostnad ungdomsverksamhet</v>
      </c>
      <c r="C72" s="210">
        <v>-20000</v>
      </c>
      <c r="D72" s="218">
        <v>-30000</v>
      </c>
      <c r="E72" s="188">
        <v>-20082.7</v>
      </c>
      <c r="F72" s="171">
        <v>-15443</v>
      </c>
      <c r="G72" s="153">
        <v>-10865</v>
      </c>
      <c r="H72" s="127">
        <v>-6599</v>
      </c>
      <c r="I72" s="10">
        <v>-11010</v>
      </c>
    </row>
    <row r="73" spans="1:14" x14ac:dyDescent="0.25">
      <c r="A73" s="24" t="s">
        <v>36</v>
      </c>
      <c r="B73" s="5" t="s">
        <v>37</v>
      </c>
      <c r="C73" s="210"/>
      <c r="D73" s="218">
        <v>-20000</v>
      </c>
      <c r="E73" s="188">
        <v>-10144</v>
      </c>
      <c r="F73" s="171"/>
      <c r="G73" s="153"/>
      <c r="H73" s="127"/>
      <c r="I73" s="10"/>
    </row>
    <row r="74" spans="1:14" x14ac:dyDescent="0.25">
      <c r="A74" s="24" t="str">
        <f>"4220"</f>
        <v>4220</v>
      </c>
      <c r="B74" s="5" t="s">
        <v>38</v>
      </c>
      <c r="C74" s="210">
        <v>-150000</v>
      </c>
      <c r="D74" s="218">
        <v>-100000</v>
      </c>
      <c r="E74" s="188">
        <v>-155862.54999999999</v>
      </c>
      <c r="F74" s="171">
        <v>-117887.33</v>
      </c>
      <c r="G74" s="153">
        <v>-72611.98</v>
      </c>
      <c r="H74" s="127">
        <v>-83127</v>
      </c>
      <c r="I74" s="10">
        <v>-33278</v>
      </c>
      <c r="J74" s="161"/>
      <c r="K74" s="162"/>
      <c r="L74" s="162"/>
      <c r="M74" s="162"/>
      <c r="N74" s="4"/>
    </row>
    <row r="75" spans="1:14" x14ac:dyDescent="0.25">
      <c r="A75" s="24" t="s">
        <v>39</v>
      </c>
      <c r="B75" s="5" t="s">
        <v>40</v>
      </c>
      <c r="C75" s="210"/>
      <c r="D75" s="218"/>
      <c r="E75" s="188"/>
      <c r="F75" s="171">
        <v>-2000</v>
      </c>
      <c r="G75" s="153">
        <v>-16508</v>
      </c>
      <c r="H75" s="127">
        <v>-21032</v>
      </c>
      <c r="I75" s="10">
        <v>-3618</v>
      </c>
    </row>
    <row r="76" spans="1:14" x14ac:dyDescent="0.25">
      <c r="A76" s="24" t="s">
        <v>41</v>
      </c>
      <c r="B76" s="5" t="s">
        <v>42</v>
      </c>
      <c r="C76" s="210"/>
      <c r="D76" s="218"/>
      <c r="E76" s="188"/>
      <c r="F76" s="171"/>
      <c r="G76" s="153">
        <v>-11300</v>
      </c>
      <c r="H76" s="127"/>
      <c r="I76" s="10"/>
    </row>
    <row r="77" spans="1:14" x14ac:dyDescent="0.25">
      <c r="A77" s="24" t="str">
        <f>"4610"</f>
        <v>4610</v>
      </c>
      <c r="B77" s="5" t="str">
        <f>"Mötesverksamhet"</f>
        <v>Mötesverksamhet</v>
      </c>
      <c r="C77" s="210">
        <v>-6000</v>
      </c>
      <c r="D77" s="218">
        <v>-6000</v>
      </c>
      <c r="E77" s="188">
        <v>-4700</v>
      </c>
      <c r="F77" s="171">
        <v>-8029</v>
      </c>
      <c r="G77" s="153">
        <v>-663</v>
      </c>
      <c r="H77" s="127">
        <v>-223</v>
      </c>
      <c r="I77" s="99">
        <v>-1906</v>
      </c>
    </row>
    <row r="78" spans="1:14" x14ac:dyDescent="0.25">
      <c r="A78" s="24" t="s">
        <v>43</v>
      </c>
      <c r="B78" s="5" t="s">
        <v>44</v>
      </c>
      <c r="C78" s="210"/>
      <c r="D78" s="218"/>
      <c r="E78" s="188"/>
      <c r="F78" s="171"/>
      <c r="G78" s="153"/>
      <c r="H78" s="127"/>
      <c r="I78" s="10">
        <v>-10840</v>
      </c>
    </row>
    <row r="79" spans="1:14" x14ac:dyDescent="0.25">
      <c r="A79" s="24" t="str">
        <f>"4710"</f>
        <v>4710</v>
      </c>
      <c r="B79" s="5" t="str">
        <f>"Märken och priser"</f>
        <v>Märken och priser</v>
      </c>
      <c r="C79" s="210">
        <v>-4000</v>
      </c>
      <c r="D79" s="218">
        <v>-4000</v>
      </c>
      <c r="E79" s="188">
        <v>-4127</v>
      </c>
      <c r="F79" s="171">
        <v>-3630</v>
      </c>
      <c r="G79" s="153">
        <v>-3710</v>
      </c>
      <c r="H79" s="127">
        <v>-6310</v>
      </c>
      <c r="I79" s="10">
        <v>-3790</v>
      </c>
    </row>
    <row r="80" spans="1:14" x14ac:dyDescent="0.25">
      <c r="A80" s="24" t="str">
        <f>"4800"</f>
        <v>4800</v>
      </c>
      <c r="B80" s="5" t="str">
        <f>"Medlemmarnas pengar"</f>
        <v>Medlemmarnas pengar</v>
      </c>
      <c r="C80" s="210"/>
      <c r="D80" s="218"/>
      <c r="E80" s="188"/>
      <c r="F80" s="171"/>
      <c r="G80" s="153"/>
      <c r="H80" s="127"/>
      <c r="I80" s="10"/>
    </row>
    <row r="81" spans="1:9" x14ac:dyDescent="0.25">
      <c r="A81" s="26"/>
      <c r="B81" s="6"/>
      <c r="C81" s="210"/>
      <c r="D81" s="218"/>
      <c r="E81" s="188"/>
      <c r="F81" s="6"/>
      <c r="G81" s="153"/>
      <c r="H81" s="129"/>
      <c r="I81" s="10"/>
    </row>
    <row r="82" spans="1:9" s="1" customFormat="1" ht="15.75" thickBot="1" x14ac:dyDescent="0.3">
      <c r="A82" s="27" t="str">
        <f>"S:a Råvaror och förnödenheter mm"</f>
        <v>S:a Råvaror och förnödenheter mm</v>
      </c>
      <c r="B82" s="14"/>
      <c r="C82" s="212">
        <f>SUM(C60:C80)</f>
        <v>-334000</v>
      </c>
      <c r="D82" s="220">
        <f>SUM(D59:D80)</f>
        <v>-401000</v>
      </c>
      <c r="E82" s="189">
        <f>SUM(E59:E80)</f>
        <v>-350860.65</v>
      </c>
      <c r="F82" s="170">
        <f>SUM(F59:F80)</f>
        <v>-286733.83</v>
      </c>
      <c r="G82" s="109">
        <f>SUM(G59:G80)</f>
        <v>-286003.48</v>
      </c>
      <c r="H82" s="119">
        <f>SUM(H59:H80)</f>
        <v>-259088</v>
      </c>
      <c r="I82" s="55">
        <f>SUM(I59:I81)</f>
        <v>-220718</v>
      </c>
    </row>
    <row r="83" spans="1:9" x14ac:dyDescent="0.25">
      <c r="A83" s="19"/>
      <c r="B83" s="20"/>
      <c r="C83" s="205"/>
      <c r="D83" s="221"/>
      <c r="E83" s="190"/>
      <c r="F83" s="168"/>
      <c r="G83" s="155"/>
      <c r="H83" s="128"/>
      <c r="I83" s="30"/>
    </row>
    <row r="84" spans="1:9" x14ac:dyDescent="0.25">
      <c r="A84" s="26"/>
      <c r="B84" s="6"/>
      <c r="C84" s="203"/>
      <c r="D84" s="218"/>
      <c r="E84" s="188"/>
      <c r="F84" s="6"/>
      <c r="G84" s="153"/>
      <c r="H84" s="129"/>
      <c r="I84" s="10"/>
    </row>
    <row r="85" spans="1:9" s="1" customFormat="1" ht="15.75" thickBot="1" x14ac:dyDescent="0.3">
      <c r="A85" s="27" t="str">
        <f>"Bruttovinst"</f>
        <v>Bruttovinst</v>
      </c>
      <c r="B85" s="14"/>
      <c r="C85" s="213"/>
      <c r="D85" s="220">
        <f>D55+D82</f>
        <v>108000</v>
      </c>
      <c r="E85" s="189">
        <f t="shared" ref="E85:I85" si="2">E55+E82</f>
        <v>124867.34999999998</v>
      </c>
      <c r="F85" s="167">
        <f t="shared" si="2"/>
        <v>149285.5</v>
      </c>
      <c r="G85" s="154">
        <f t="shared" si="2"/>
        <v>278452.52</v>
      </c>
      <c r="H85" s="119">
        <f t="shared" si="2"/>
        <v>164795.5</v>
      </c>
      <c r="I85" s="28">
        <f t="shared" si="2"/>
        <v>252234</v>
      </c>
    </row>
    <row r="86" spans="1:9" x14ac:dyDescent="0.25">
      <c r="A86" s="19"/>
      <c r="B86" s="20"/>
      <c r="C86" s="205"/>
      <c r="D86" s="221"/>
      <c r="E86" s="190"/>
      <c r="F86" s="168"/>
      <c r="G86" s="155"/>
      <c r="H86" s="128"/>
      <c r="I86" s="30"/>
    </row>
    <row r="87" spans="1:9" x14ac:dyDescent="0.25">
      <c r="A87" s="22" t="str">
        <f>"Övriga externa kostnader"</f>
        <v>Övriga externa kostnader</v>
      </c>
      <c r="B87" s="6"/>
      <c r="C87" s="203"/>
      <c r="D87" s="218"/>
      <c r="E87" s="188"/>
      <c r="F87" s="6"/>
      <c r="G87" s="153"/>
      <c r="H87" s="129"/>
      <c r="I87" s="10"/>
    </row>
    <row r="88" spans="1:9" x14ac:dyDescent="0.25">
      <c r="A88" s="24" t="str">
        <f>"5110"</f>
        <v>5110</v>
      </c>
      <c r="B88" s="5" t="str">
        <f>"Arrende"</f>
        <v>Arrende</v>
      </c>
      <c r="C88" s="210">
        <v>-4000</v>
      </c>
      <c r="D88" s="218">
        <v>-4100</v>
      </c>
      <c r="E88" s="188">
        <v>-4004</v>
      </c>
      <c r="F88" s="171">
        <v>-4000</v>
      </c>
      <c r="G88" s="153">
        <v>-1643</v>
      </c>
      <c r="H88" s="127">
        <v>-1643</v>
      </c>
      <c r="I88" s="10">
        <v>-1637</v>
      </c>
    </row>
    <row r="89" spans="1:9" x14ac:dyDescent="0.25">
      <c r="A89" s="24" t="str">
        <f>"5120"</f>
        <v>5120</v>
      </c>
      <c r="B89" s="5" t="str">
        <f>"Elektricitet"</f>
        <v>Elektricitet</v>
      </c>
      <c r="C89" s="210">
        <v>-25000</v>
      </c>
      <c r="D89" s="218">
        <v>-25000</v>
      </c>
      <c r="E89" s="188">
        <v>-15738</v>
      </c>
      <c r="F89" s="171">
        <v>-21431</v>
      </c>
      <c r="G89" s="153">
        <v>-24526</v>
      </c>
      <c r="H89" s="127">
        <v>-28939</v>
      </c>
      <c r="I89" s="10">
        <v>-21334</v>
      </c>
    </row>
    <row r="90" spans="1:9" x14ac:dyDescent="0.25">
      <c r="A90" s="24" t="str">
        <f>"5140"</f>
        <v>5140</v>
      </c>
      <c r="B90" s="5" t="str">
        <f>"Vatten och sophämtning"</f>
        <v>Vatten och sophämtning</v>
      </c>
      <c r="C90" s="210">
        <v>-7000</v>
      </c>
      <c r="D90" s="218">
        <v>-7000</v>
      </c>
      <c r="E90" s="188">
        <v>-4833</v>
      </c>
      <c r="F90" s="171">
        <v>-6464</v>
      </c>
      <c r="G90" s="153">
        <v>-5849</v>
      </c>
      <c r="H90" s="127">
        <v>-6178</v>
      </c>
      <c r="I90" s="10">
        <v>-6077</v>
      </c>
    </row>
    <row r="91" spans="1:9" x14ac:dyDescent="0.25">
      <c r="A91" s="24" t="s">
        <v>45</v>
      </c>
      <c r="B91" s="5" t="s">
        <v>46</v>
      </c>
      <c r="C91" s="210">
        <v>-4000</v>
      </c>
      <c r="D91" s="218">
        <v>-10000</v>
      </c>
      <c r="E91" s="188"/>
      <c r="F91" s="171">
        <v>-8039.38</v>
      </c>
      <c r="G91" s="153"/>
      <c r="H91" s="127"/>
      <c r="I91" s="10"/>
    </row>
    <row r="92" spans="1:9" x14ac:dyDescent="0.25">
      <c r="A92" s="24" t="str">
        <f>"5170"</f>
        <v>5170</v>
      </c>
      <c r="B92" s="5" t="str">
        <f>"Fastighetsunderhåll"</f>
        <v>Fastighetsunderhåll</v>
      </c>
      <c r="C92" s="210">
        <v>-100000</v>
      </c>
      <c r="D92" s="218">
        <v>-160000</v>
      </c>
      <c r="E92" s="188">
        <v>-1287</v>
      </c>
      <c r="F92" s="171">
        <v>-5540.5</v>
      </c>
      <c r="G92" s="153">
        <v>-18240</v>
      </c>
      <c r="H92" s="127">
        <v>-53805</v>
      </c>
      <c r="I92" s="10">
        <v>-3691</v>
      </c>
    </row>
    <row r="93" spans="1:9" x14ac:dyDescent="0.25">
      <c r="A93" s="24" t="s">
        <v>47</v>
      </c>
      <c r="B93" s="5" t="s">
        <v>48</v>
      </c>
      <c r="C93" s="210"/>
      <c r="D93" s="218"/>
      <c r="E93" s="188"/>
      <c r="F93" s="171">
        <v>-4006</v>
      </c>
      <c r="G93" s="153">
        <v>-61624.5</v>
      </c>
      <c r="H93" s="127"/>
      <c r="I93" s="10">
        <v>-4528</v>
      </c>
    </row>
    <row r="94" spans="1:9" x14ac:dyDescent="0.25">
      <c r="A94" s="24" t="str">
        <f>"5410"</f>
        <v>5410</v>
      </c>
      <c r="B94" s="5" t="str">
        <f>"Förbrukningsinventarier"</f>
        <v>Förbrukningsinventarier</v>
      </c>
      <c r="C94" s="210">
        <v>-60000</v>
      </c>
      <c r="D94" s="218">
        <v>-67000</v>
      </c>
      <c r="E94" s="188">
        <v>-13444</v>
      </c>
      <c r="F94" s="171">
        <v>-1795</v>
      </c>
      <c r="G94" s="153">
        <v>-1038</v>
      </c>
      <c r="H94" s="127">
        <v>-1675</v>
      </c>
      <c r="I94" s="10">
        <v>-992</v>
      </c>
    </row>
    <row r="95" spans="1:9" x14ac:dyDescent="0.25">
      <c r="A95" s="24" t="str">
        <f>"5420"</f>
        <v>5420</v>
      </c>
      <c r="B95" s="5" t="str">
        <f>"Programvaror"</f>
        <v>Programvaror</v>
      </c>
      <c r="C95" s="210"/>
      <c r="D95" s="218"/>
      <c r="E95" s="188"/>
      <c r="F95" s="171"/>
      <c r="G95" s="153">
        <v>-1265</v>
      </c>
      <c r="H95" s="127">
        <v>-1200</v>
      </c>
      <c r="I95" s="10">
        <v>-1135</v>
      </c>
    </row>
    <row r="96" spans="1:9" x14ac:dyDescent="0.25">
      <c r="A96" s="24" t="s">
        <v>49</v>
      </c>
      <c r="B96" s="5" t="s">
        <v>50</v>
      </c>
      <c r="C96" s="210">
        <v>-3000</v>
      </c>
      <c r="D96" s="218">
        <v>-3000</v>
      </c>
      <c r="E96" s="188">
        <v>-1616</v>
      </c>
      <c r="F96" s="171">
        <v>-3556</v>
      </c>
      <c r="G96" s="153"/>
      <c r="H96" s="127"/>
      <c r="I96" s="10"/>
    </row>
    <row r="97" spans="1:9" x14ac:dyDescent="0.25">
      <c r="A97" s="24" t="str">
        <f>"5500"</f>
        <v>5500</v>
      </c>
      <c r="B97" s="5" t="str">
        <f>"Kanotunderhåll"</f>
        <v>Kanotunderhåll</v>
      </c>
      <c r="C97" s="210">
        <v>-6000</v>
      </c>
      <c r="D97" s="218"/>
      <c r="E97" s="188"/>
      <c r="F97" s="171">
        <v>-2258</v>
      </c>
      <c r="G97" s="153">
        <v>-4670</v>
      </c>
      <c r="H97" s="127">
        <v>-1400</v>
      </c>
      <c r="I97" s="10">
        <v>-1823</v>
      </c>
    </row>
    <row r="98" spans="1:9" x14ac:dyDescent="0.25">
      <c r="A98" s="24" t="str">
        <f>"5611"</f>
        <v>5611</v>
      </c>
      <c r="B98" s="5" t="s">
        <v>51</v>
      </c>
      <c r="C98" s="210">
        <v>-1500</v>
      </c>
      <c r="D98" s="218">
        <v>-1500</v>
      </c>
      <c r="E98" s="188">
        <v>-875</v>
      </c>
      <c r="F98" s="171">
        <v>-1569</v>
      </c>
      <c r="G98" s="153">
        <v>-573</v>
      </c>
      <c r="H98" s="127">
        <v>-1867</v>
      </c>
      <c r="I98" s="10">
        <v>-664</v>
      </c>
    </row>
    <row r="99" spans="1:9" x14ac:dyDescent="0.25">
      <c r="A99" s="24" t="str">
        <f>"5612"</f>
        <v>5612</v>
      </c>
      <c r="B99" s="5" t="str">
        <f>"Försäkring"</f>
        <v>Försäkring</v>
      </c>
      <c r="C99" s="210">
        <v>-30000</v>
      </c>
      <c r="D99" s="218">
        <v>-15000</v>
      </c>
      <c r="E99" s="188">
        <v>-7266</v>
      </c>
      <c r="F99" s="171">
        <v>-28098</v>
      </c>
      <c r="G99" s="153">
        <v>-27736</v>
      </c>
      <c r="H99" s="127">
        <v>-43706</v>
      </c>
      <c r="I99" s="10">
        <v>-36936</v>
      </c>
    </row>
    <row r="100" spans="1:9" x14ac:dyDescent="0.25">
      <c r="A100" s="24" t="s">
        <v>52</v>
      </c>
      <c r="B100" s="5" t="s">
        <v>53</v>
      </c>
      <c r="C100" s="210">
        <v>-1000</v>
      </c>
      <c r="D100" s="218"/>
      <c r="E100" s="188"/>
      <c r="F100" s="171">
        <v>-4371</v>
      </c>
      <c r="G100" s="153"/>
      <c r="H100" s="127">
        <v>-400</v>
      </c>
      <c r="I100" s="10"/>
    </row>
    <row r="101" spans="1:9" x14ac:dyDescent="0.25">
      <c r="A101" s="24"/>
      <c r="B101" s="5"/>
      <c r="C101" s="210"/>
      <c r="D101" s="218"/>
      <c r="E101" s="188"/>
      <c r="F101" s="171"/>
      <c r="G101" s="153">
        <v>-315</v>
      </c>
      <c r="H101" s="127"/>
      <c r="I101" s="10">
        <v>-8985</v>
      </c>
    </row>
    <row r="102" spans="1:9" x14ac:dyDescent="0.25">
      <c r="A102" s="24" t="str">
        <f>"5620"</f>
        <v>5620</v>
      </c>
      <c r="B102" s="5" t="s">
        <v>54</v>
      </c>
      <c r="C102" s="210">
        <v>-3000</v>
      </c>
      <c r="D102" s="218"/>
      <c r="E102" s="188">
        <v>-2295</v>
      </c>
      <c r="F102" s="171">
        <v>-8015</v>
      </c>
      <c r="G102" s="153">
        <v>-1476</v>
      </c>
      <c r="H102" s="127">
        <v>-1721</v>
      </c>
      <c r="I102" s="10"/>
    </row>
    <row r="103" spans="1:9" x14ac:dyDescent="0.25">
      <c r="A103" s="24" t="s">
        <v>55</v>
      </c>
      <c r="B103" s="5" t="s">
        <v>56</v>
      </c>
      <c r="C103" s="210"/>
      <c r="D103" s="218"/>
      <c r="E103" s="188"/>
      <c r="F103" s="171"/>
      <c r="G103" s="153"/>
      <c r="H103" s="127"/>
      <c r="I103" s="10">
        <v>-31345</v>
      </c>
    </row>
    <row r="104" spans="1:9" x14ac:dyDescent="0.25">
      <c r="A104" s="24" t="str">
        <f>"6110"</f>
        <v>6110</v>
      </c>
      <c r="B104" s="5" t="str">
        <f>"Kontorsmaterial"</f>
        <v>Kontorsmaterial</v>
      </c>
      <c r="C104" s="210">
        <v>-1000</v>
      </c>
      <c r="D104" s="218"/>
      <c r="E104" s="188">
        <v>-148</v>
      </c>
      <c r="F104" s="171">
        <v>-1733</v>
      </c>
      <c r="G104" s="153">
        <v>-138</v>
      </c>
      <c r="H104" s="127">
        <v>-115</v>
      </c>
      <c r="I104" s="10">
        <v>-1193</v>
      </c>
    </row>
    <row r="105" spans="1:9" x14ac:dyDescent="0.25">
      <c r="A105" s="24" t="str">
        <f>"6210"</f>
        <v>6210</v>
      </c>
      <c r="B105" s="5" t="str">
        <f>"Telefon"</f>
        <v>Telefon</v>
      </c>
      <c r="C105" s="210"/>
      <c r="D105" s="218"/>
      <c r="E105" s="188"/>
      <c r="F105" s="171"/>
      <c r="G105" s="153">
        <v>-440</v>
      </c>
      <c r="H105" s="127">
        <v>-1928</v>
      </c>
      <c r="I105" s="10">
        <v>-2045</v>
      </c>
    </row>
    <row r="106" spans="1:9" x14ac:dyDescent="0.25">
      <c r="A106" s="24" t="str">
        <f>"6250"</f>
        <v>6250</v>
      </c>
      <c r="B106" s="5" t="str">
        <f>"Porto"</f>
        <v>Porto</v>
      </c>
      <c r="C106" s="210">
        <v>-200</v>
      </c>
      <c r="D106" s="218"/>
      <c r="E106" s="188">
        <v>-183</v>
      </c>
      <c r="F106" s="171">
        <v>-140</v>
      </c>
      <c r="G106" s="153">
        <v>-60</v>
      </c>
      <c r="H106" s="127">
        <v>-60</v>
      </c>
      <c r="I106" s="10">
        <v>-629</v>
      </c>
    </row>
    <row r="107" spans="1:9" x14ac:dyDescent="0.25">
      <c r="A107" s="24" t="str">
        <f>"6570"</f>
        <v>6570</v>
      </c>
      <c r="B107" s="5" t="str">
        <f>"Bankkostnader"</f>
        <v>Bankkostnader</v>
      </c>
      <c r="C107" s="210">
        <v>-2000</v>
      </c>
      <c r="D107" s="218">
        <v>-1000</v>
      </c>
      <c r="E107" s="188">
        <v>-615</v>
      </c>
      <c r="F107" s="171">
        <v>-4.5</v>
      </c>
      <c r="G107" s="153">
        <v>-1869</v>
      </c>
      <c r="H107" s="127">
        <v>-1971</v>
      </c>
      <c r="I107" s="10">
        <v>-3250</v>
      </c>
    </row>
    <row r="108" spans="1:9" x14ac:dyDescent="0.25">
      <c r="A108" s="24" t="str">
        <f>"6980"</f>
        <v>6980</v>
      </c>
      <c r="B108" s="5" t="str">
        <f>"Föreningsavgift /Licenser"</f>
        <v>Föreningsavgift /Licenser</v>
      </c>
      <c r="C108" s="210">
        <v>-20000</v>
      </c>
      <c r="D108" s="218">
        <v>-22000</v>
      </c>
      <c r="E108" s="188">
        <v>-17180</v>
      </c>
      <c r="F108" s="171">
        <v>-15790</v>
      </c>
      <c r="G108" s="153">
        <v>-26978</v>
      </c>
      <c r="H108" s="127">
        <v>-24550</v>
      </c>
      <c r="I108" s="10">
        <v>-19650</v>
      </c>
    </row>
    <row r="109" spans="1:9" x14ac:dyDescent="0.25">
      <c r="A109" s="24" t="str">
        <f>"6990"</f>
        <v>6990</v>
      </c>
      <c r="B109" s="5" t="str">
        <f>"Övriga Kostnader"</f>
        <v>Övriga Kostnader</v>
      </c>
      <c r="C109" s="210">
        <v>-4000</v>
      </c>
      <c r="D109" s="218">
        <v>-4000</v>
      </c>
      <c r="E109" s="188">
        <v>-4730.79</v>
      </c>
      <c r="F109" s="171">
        <v>-3998.66</v>
      </c>
      <c r="G109" s="153">
        <v>-3766.5</v>
      </c>
      <c r="H109" s="127">
        <v>-14526.5</v>
      </c>
      <c r="I109" s="10">
        <v>-4063</v>
      </c>
    </row>
    <row r="110" spans="1:9" x14ac:dyDescent="0.25">
      <c r="A110" s="225" t="s">
        <v>127</v>
      </c>
      <c r="B110" s="224" t="s">
        <v>128</v>
      </c>
      <c r="C110" s="210"/>
      <c r="D110" s="218">
        <v>-20000</v>
      </c>
      <c r="E110" s="188"/>
      <c r="F110" s="171"/>
      <c r="G110" s="153"/>
      <c r="H110" s="127"/>
      <c r="I110" s="10"/>
    </row>
    <row r="111" spans="1:9" x14ac:dyDescent="0.25">
      <c r="A111" s="26"/>
      <c r="B111" s="6"/>
      <c r="C111" s="210"/>
      <c r="D111" s="218"/>
      <c r="E111" s="188"/>
      <c r="F111" s="6"/>
      <c r="G111" s="153"/>
      <c r="H111" s="127"/>
      <c r="I111" s="10"/>
    </row>
    <row r="112" spans="1:9" s="1" customFormat="1" ht="15.75" thickBot="1" x14ac:dyDescent="0.3">
      <c r="A112" s="27" t="str">
        <f>"S:a Övriga externa kostnader"</f>
        <v>S:a Övriga externa kostnader</v>
      </c>
      <c r="B112" s="14"/>
      <c r="C112" s="212">
        <f>SUM(C88:C110)</f>
        <v>-271700</v>
      </c>
      <c r="D112" s="220">
        <f t="shared" ref="D112:H112" si="3">SUM(D88:D110)</f>
        <v>-339600</v>
      </c>
      <c r="E112" s="189">
        <f t="shared" si="3"/>
        <v>-74214.789999999994</v>
      </c>
      <c r="F112" s="170">
        <f t="shared" si="3"/>
        <v>-120809.04000000001</v>
      </c>
      <c r="G112" s="109">
        <f t="shared" si="3"/>
        <v>-182207</v>
      </c>
      <c r="H112" s="119">
        <f t="shared" si="3"/>
        <v>-185684.5</v>
      </c>
      <c r="I112" s="55">
        <f>SUM(I88:I111)</f>
        <v>-149977</v>
      </c>
    </row>
    <row r="113" spans="1:61" s="1" customFormat="1" ht="15.75" thickBot="1" x14ac:dyDescent="0.3">
      <c r="A113" s="80"/>
      <c r="B113" s="81"/>
      <c r="C113" s="206"/>
      <c r="D113" s="222"/>
      <c r="E113" s="197"/>
      <c r="F113" s="172"/>
      <c r="G113" s="158"/>
      <c r="H113" s="130"/>
      <c r="I113" s="84"/>
    </row>
    <row r="114" spans="1:61" x14ac:dyDescent="0.25">
      <c r="A114" s="19"/>
      <c r="B114" s="20"/>
      <c r="C114" s="205"/>
      <c r="D114" s="221"/>
      <c r="E114" s="190"/>
      <c r="F114" s="168"/>
      <c r="G114" s="155"/>
      <c r="H114" s="131"/>
      <c r="I114" s="30"/>
    </row>
    <row r="115" spans="1:61" x14ac:dyDescent="0.25">
      <c r="A115" s="22" t="str">
        <f>"Personalkostnader"</f>
        <v>Personalkostnader</v>
      </c>
      <c r="B115" s="6"/>
      <c r="C115" s="203"/>
      <c r="D115" s="218"/>
      <c r="E115" s="188"/>
      <c r="F115" s="6"/>
      <c r="G115" s="153"/>
      <c r="H115" s="127"/>
      <c r="I115" s="10"/>
    </row>
    <row r="116" spans="1:61" x14ac:dyDescent="0.25">
      <c r="A116" s="24" t="str">
        <f>"7110"</f>
        <v>7110</v>
      </c>
      <c r="B116" s="5" t="str">
        <f>"Träningsbidrag"</f>
        <v>Träningsbidrag</v>
      </c>
      <c r="C116" s="210"/>
      <c r="D116" s="218"/>
      <c r="E116" s="188"/>
      <c r="F116" s="171">
        <v>-400</v>
      </c>
      <c r="G116" s="153">
        <v>-3200</v>
      </c>
      <c r="H116" s="127">
        <v>-4600</v>
      </c>
      <c r="I116" s="10">
        <v>-7600</v>
      </c>
    </row>
    <row r="117" spans="1:61" x14ac:dyDescent="0.25">
      <c r="A117" s="24" t="s">
        <v>57</v>
      </c>
      <c r="B117" s="5" t="s">
        <v>58</v>
      </c>
      <c r="C117" s="210">
        <v>-4000</v>
      </c>
      <c r="D117" s="218"/>
      <c r="E117" s="188">
        <v>-4050</v>
      </c>
      <c r="F117" s="171">
        <v>-600</v>
      </c>
      <c r="G117" s="153">
        <v>-900</v>
      </c>
      <c r="H117" s="127">
        <v>-2200</v>
      </c>
      <c r="I117" s="10">
        <v>-1600</v>
      </c>
    </row>
    <row r="118" spans="1:61" x14ac:dyDescent="0.25">
      <c r="A118" s="24" t="str">
        <f>"7210"</f>
        <v>7210</v>
      </c>
      <c r="B118" s="5" t="str">
        <f>"Resekostnads ersättning"</f>
        <v>Resekostnads ersättning</v>
      </c>
      <c r="C118" s="210">
        <v>-1000</v>
      </c>
      <c r="D118" s="218"/>
      <c r="E118" s="188">
        <v>-851</v>
      </c>
      <c r="F118" s="171">
        <v>-610</v>
      </c>
      <c r="G118" s="153">
        <v>-6961</v>
      </c>
      <c r="H118" s="127">
        <v>-6040</v>
      </c>
      <c r="I118" s="10">
        <v>-5381</v>
      </c>
    </row>
    <row r="119" spans="1:61" x14ac:dyDescent="0.25">
      <c r="A119" s="24" t="str">
        <f>"7610"</f>
        <v>7610</v>
      </c>
      <c r="B119" s="5" t="str">
        <f>"Utbildning"</f>
        <v>Utbildning</v>
      </c>
      <c r="C119" s="210">
        <v>-10000</v>
      </c>
      <c r="D119" s="218">
        <v>-10000</v>
      </c>
      <c r="E119" s="188">
        <v>-7796</v>
      </c>
      <c r="F119" s="171"/>
      <c r="G119" s="153">
        <v>-11671</v>
      </c>
      <c r="H119" s="127">
        <v>-18925</v>
      </c>
      <c r="I119" s="10"/>
    </row>
    <row r="120" spans="1:61" x14ac:dyDescent="0.25">
      <c r="A120" s="26"/>
      <c r="B120" s="6" t="s">
        <v>37</v>
      </c>
      <c r="C120" s="210"/>
      <c r="D120" s="218"/>
      <c r="E120" s="188"/>
      <c r="F120" s="6"/>
      <c r="G120" s="153"/>
      <c r="H120" s="127"/>
      <c r="I120" s="10"/>
    </row>
    <row r="121" spans="1:61" s="1" customFormat="1" ht="15.75" thickBot="1" x14ac:dyDescent="0.3">
      <c r="A121" s="27" t="str">
        <f>"S:a Personalkostnader"</f>
        <v>S:a Personalkostnader</v>
      </c>
      <c r="B121" s="14"/>
      <c r="C121" s="212">
        <f t="shared" ref="C121:H121" si="4">SUM(C116:C119)</f>
        <v>-15000</v>
      </c>
      <c r="D121" s="220">
        <f t="shared" si="4"/>
        <v>-10000</v>
      </c>
      <c r="E121" s="189">
        <f t="shared" si="4"/>
        <v>-12697</v>
      </c>
      <c r="F121" s="170">
        <f t="shared" si="4"/>
        <v>-1610</v>
      </c>
      <c r="G121" s="154">
        <f t="shared" si="4"/>
        <v>-22732</v>
      </c>
      <c r="H121" s="119">
        <f t="shared" si="4"/>
        <v>-31765</v>
      </c>
      <c r="I121" s="55">
        <f>SUM(I116:I120)</f>
        <v>-14581</v>
      </c>
    </row>
    <row r="122" spans="1:61" x14ac:dyDescent="0.25">
      <c r="A122" s="19"/>
      <c r="B122" s="20"/>
      <c r="C122" s="205"/>
      <c r="D122" s="221"/>
      <c r="E122" s="190"/>
      <c r="F122" s="168"/>
      <c r="G122" s="155"/>
      <c r="H122" s="131"/>
      <c r="I122" s="30"/>
    </row>
    <row r="123" spans="1:61" x14ac:dyDescent="0.25">
      <c r="A123" s="26"/>
      <c r="B123" s="6"/>
      <c r="C123" s="203"/>
      <c r="D123" s="218"/>
      <c r="E123" s="188"/>
      <c r="F123" s="6"/>
      <c r="G123" s="153"/>
      <c r="H123" s="127"/>
      <c r="I123" s="10"/>
    </row>
    <row r="124" spans="1:61" s="2" customFormat="1" ht="15.75" thickBot="1" x14ac:dyDescent="0.3">
      <c r="A124" s="32" t="str">
        <f>"S:a Rörelsens kostnader inkl råvaror mm"</f>
        <v>S:a Rörelsens kostnader inkl råvaror mm</v>
      </c>
      <c r="B124" s="33"/>
      <c r="C124" s="147">
        <f>SUM(C82+C112+C121)</f>
        <v>-620700</v>
      </c>
      <c r="D124" s="163">
        <f>D82+D112+D121</f>
        <v>-750600</v>
      </c>
      <c r="E124" s="163">
        <f>E82+E112+E121</f>
        <v>-437772.44</v>
      </c>
      <c r="F124" s="149">
        <f>F82+F121+F112</f>
        <v>-409152.87</v>
      </c>
      <c r="G124" s="110">
        <f>G82+G121+G112</f>
        <v>-490942.48</v>
      </c>
      <c r="H124" s="111">
        <f>H82+H112+H121</f>
        <v>-476537.5</v>
      </c>
      <c r="I124" s="34">
        <f>I82+I112+I121</f>
        <v>-385276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s="2" customFormat="1" x14ac:dyDescent="0.25">
      <c r="A125" s="51"/>
      <c r="B125" s="17"/>
      <c r="C125" s="207"/>
      <c r="D125" s="226"/>
      <c r="E125" s="191"/>
      <c r="F125" s="81"/>
      <c r="G125" s="156"/>
      <c r="H125" s="132"/>
      <c r="I125" s="5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s="2" customFormat="1" x14ac:dyDescent="0.25">
      <c r="A126" s="51" t="s">
        <v>59</v>
      </c>
      <c r="B126" s="17" t="s">
        <v>60</v>
      </c>
      <c r="C126" s="208"/>
      <c r="D126" s="227"/>
      <c r="E126" s="198"/>
      <c r="F126" s="17">
        <v>118.94</v>
      </c>
      <c r="G126" s="157">
        <v>7419</v>
      </c>
      <c r="H126" s="132">
        <v>708</v>
      </c>
      <c r="I126" s="57">
        <v>1757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x14ac:dyDescent="0.25">
      <c r="A127" s="26"/>
      <c r="B127" s="6"/>
      <c r="C127" s="203"/>
      <c r="D127" s="218"/>
      <c r="E127" s="188"/>
      <c r="F127" s="6"/>
      <c r="G127" s="153"/>
      <c r="H127" s="127"/>
      <c r="I127" s="10"/>
    </row>
    <row r="128" spans="1:61" s="3" customFormat="1" x14ac:dyDescent="0.25">
      <c r="A128" s="113" t="str">
        <f>"Beräknat resultat"</f>
        <v>Beräknat resultat</v>
      </c>
      <c r="B128" s="114"/>
      <c r="C128" s="150">
        <f>C55+C124</f>
        <v>-243800</v>
      </c>
      <c r="D128" s="164">
        <f t="shared" ref="D128:I128" si="5">D55+D124+D126</f>
        <v>-241600</v>
      </c>
      <c r="E128" s="164">
        <f t="shared" si="5"/>
        <v>37955.56</v>
      </c>
      <c r="F128" s="150">
        <f t="shared" si="5"/>
        <v>26985.40000000002</v>
      </c>
      <c r="G128" s="115">
        <f t="shared" si="5"/>
        <v>80932.520000000019</v>
      </c>
      <c r="H128" s="116">
        <f t="shared" si="5"/>
        <v>-51946</v>
      </c>
      <c r="I128" s="117">
        <f t="shared" si="5"/>
        <v>89433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9" ht="15.75" thickBot="1" x14ac:dyDescent="0.3">
      <c r="A129" s="37"/>
      <c r="B129" s="15"/>
      <c r="C129" s="15"/>
      <c r="D129" s="15"/>
      <c r="E129" s="15"/>
      <c r="F129" s="15"/>
      <c r="G129" s="109"/>
      <c r="H129" s="15"/>
      <c r="I129" s="70"/>
    </row>
  </sheetData>
  <pageMargins left="0.7" right="0.7" top="0.75" bottom="0.75" header="0.3" footer="0.3"/>
  <headerFooter>
    <oddHeader>&amp;C&amp;"Calibri"&amp;10&amp;K008000 Zeppelin: Confidential GREEN&amp;1#_x000D_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2017 (2)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till årsmötet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</dc:creator>
  <cp:keywords/>
  <dc:description/>
  <cp:lastModifiedBy>Tyrebrant Johan</cp:lastModifiedBy>
  <cp:revision/>
  <dcterms:created xsi:type="dcterms:W3CDTF">2010-11-07T19:25:57Z</dcterms:created>
  <dcterms:modified xsi:type="dcterms:W3CDTF">2026-02-16T19:01:18Z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629c86-9c56-4733-83b0-e751f548439d_Enabled">
    <vt:lpwstr>true</vt:lpwstr>
  </property>
  <property fmtid="{D5CDD505-2E9C-101B-9397-08002B2CF9AE}" pid="3" name="MSIP_Label_f4629c86-9c56-4733-83b0-e751f548439d_SetDate">
    <vt:lpwstr>2026-02-16T17:19:13Z</vt:lpwstr>
  </property>
  <property fmtid="{D5CDD505-2E9C-101B-9397-08002B2CF9AE}" pid="4" name="MSIP_Label_f4629c86-9c56-4733-83b0-e751f548439d_Method">
    <vt:lpwstr>Standard</vt:lpwstr>
  </property>
  <property fmtid="{D5CDD505-2E9C-101B-9397-08002B2CF9AE}" pid="5" name="MSIP_Label_f4629c86-9c56-4733-83b0-e751f548439d_Name">
    <vt:lpwstr>Green Zeppelin</vt:lpwstr>
  </property>
  <property fmtid="{D5CDD505-2E9C-101B-9397-08002B2CF9AE}" pid="6" name="MSIP_Label_f4629c86-9c56-4733-83b0-e751f548439d_SiteId">
    <vt:lpwstr>0250981a-1133-49e1-ba8e-3b02b77bfa04</vt:lpwstr>
  </property>
  <property fmtid="{D5CDD505-2E9C-101B-9397-08002B2CF9AE}" pid="7" name="MSIP_Label_f4629c86-9c56-4733-83b0-e751f548439d_ActionId">
    <vt:lpwstr>543827e9-37f8-43a0-976c-81449748d86e</vt:lpwstr>
  </property>
  <property fmtid="{D5CDD505-2E9C-101B-9397-08002B2CF9AE}" pid="8" name="MSIP_Label_f4629c86-9c56-4733-83b0-e751f548439d_ContentBits">
    <vt:lpwstr>1</vt:lpwstr>
  </property>
</Properties>
</file>